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" windowWidth="23280" windowHeight="12960" activeTab="0"/>
  </bookViews>
  <sheets>
    <sheet name="RHI Calculator" sheetId="1" r:id="rId1"/>
    <sheet name="fuel calc" sheetId="2" r:id="rId2"/>
    <sheet name="data sheet" sheetId="3" r:id="rId3"/>
    <sheet name="carbon" sheetId="4" r:id="rId4"/>
  </sheets>
  <externalReferences>
    <externalReference r:id="rId7"/>
    <externalReference r:id="rId8"/>
  </externalReferences>
  <definedNames>
    <definedName name="_GoBack" localSheetId="0">'RHI Calculator'!$U$24</definedName>
    <definedName name="_xlnm.Print_Area" localSheetId="1">'fuel calc'!$A$2:$N$26</definedName>
    <definedName name="_xlnm.Print_Area" localSheetId="0">'RHI Calculator'!$A$1:$S$48</definedName>
  </definedNames>
  <calcPr fullCalcOnLoad="1"/>
</workbook>
</file>

<file path=xl/sharedStrings.xml><?xml version="1.0" encoding="utf-8"?>
<sst xmlns="http://schemas.openxmlformats.org/spreadsheetml/2006/main" count="241" uniqueCount="154">
  <si>
    <t>Carbon Trust Standard</t>
  </si>
  <si>
    <t>Table 5 Gross calorific values for liquid fuels:</t>
  </si>
  <si>
    <t>Liquid fuels</t>
  </si>
  <si>
    <t>kWh/tonne</t>
  </si>
  <si>
    <t>litres/tonne</t>
  </si>
  <si>
    <t>kWh/litre</t>
  </si>
  <si>
    <t>Fuel oil</t>
  </si>
  <si>
    <t>LPG</t>
  </si>
  <si>
    <t>EXISTING FUEL</t>
  </si>
  <si>
    <t>Carbon Trust</t>
  </si>
  <si>
    <t xml:space="preserve">Price </t>
  </si>
  <si>
    <t>Gas/diesel oil</t>
  </si>
  <si>
    <t xml:space="preserve">Fuel </t>
  </si>
  <si>
    <t>Moisture</t>
  </si>
  <si>
    <t xml:space="preserve">Price Per </t>
  </si>
  <si>
    <t>Unit</t>
  </si>
  <si>
    <t>Conversion</t>
  </si>
  <si>
    <t>Per</t>
  </si>
  <si>
    <t>Burning oil</t>
  </si>
  <si>
    <t>Type</t>
  </si>
  <si>
    <t>Content</t>
  </si>
  <si>
    <t>£</t>
  </si>
  <si>
    <t>Rate</t>
  </si>
  <si>
    <t>kWh</t>
  </si>
  <si>
    <t>Petrol</t>
  </si>
  <si>
    <t>Litre</t>
  </si>
  <si>
    <t>OIL</t>
  </si>
  <si>
    <t>GAS -mains</t>
  </si>
  <si>
    <t>Electricity</t>
  </si>
  <si>
    <t>B</t>
  </si>
  <si>
    <t>Dry Matter -Base 100%</t>
  </si>
  <si>
    <t>PP Unit</t>
  </si>
  <si>
    <t>I</t>
  </si>
  <si>
    <t>Wood Pellet</t>
  </si>
  <si>
    <t>Tonne</t>
  </si>
  <si>
    <t>Kg</t>
  </si>
  <si>
    <t>O</t>
  </si>
  <si>
    <t>Wood Chip</t>
  </si>
  <si>
    <t>kg</t>
  </si>
  <si>
    <t>M</t>
  </si>
  <si>
    <t>Logs</t>
  </si>
  <si>
    <t>A</t>
  </si>
  <si>
    <t>S</t>
  </si>
  <si>
    <t xml:space="preserve">Fuel Calulations </t>
  </si>
  <si>
    <t>Non Domestic Biomass Renewable Heat Incentive Calculator</t>
  </si>
  <si>
    <t>Year</t>
  </si>
  <si>
    <t>RHI Payment</t>
  </si>
  <si>
    <t>Current Fuel Cost</t>
  </si>
  <si>
    <t>Biomass Fuel Cost</t>
  </si>
  <si>
    <t>Net Fuel saving</t>
  </si>
  <si>
    <t>Cash Projection</t>
  </si>
  <si>
    <t>Current Annual Fuel Cost</t>
  </si>
  <si>
    <t>Project Cost</t>
  </si>
  <si>
    <t>-</t>
  </si>
  <si>
    <t>Existing Fuel type</t>
  </si>
  <si>
    <t>Oil</t>
  </si>
  <si>
    <t>Estimated Annual heat requirement (kWh)</t>
  </si>
  <si>
    <t>Bio Fuel Inflation</t>
  </si>
  <si>
    <t>Boiler output kW</t>
  </si>
  <si>
    <t>Fossil Fuel Inflation</t>
  </si>
  <si>
    <t>Annual Heat Hours</t>
  </si>
  <si>
    <t>Annual Heat Hours Adjustment</t>
  </si>
  <si>
    <t>Biomass Fuel</t>
  </si>
  <si>
    <t>Biomass Boiler Efficiency</t>
  </si>
  <si>
    <t>Existing Boiler Efficiency</t>
  </si>
  <si>
    <t>Existing Fuel Pence per kWh</t>
  </si>
  <si>
    <t>Biomass Fuel Pence per kWh</t>
  </si>
  <si>
    <t>CO2 Saving per kWh</t>
  </si>
  <si>
    <t>Fuel Price</t>
  </si>
  <si>
    <t>kWh/Unit</t>
  </si>
  <si>
    <t xml:space="preserve">P/ kWh </t>
  </si>
  <si>
    <t>CO2 Saving</t>
  </si>
  <si>
    <t>Investment</t>
  </si>
  <si>
    <t>Gas</t>
  </si>
  <si>
    <t>p/kWh</t>
  </si>
  <si>
    <t>Investment Payback Period</t>
  </si>
  <si>
    <t>Total Gain (RHI + Fuel Save)</t>
  </si>
  <si>
    <t>Elec</t>
  </si>
  <si>
    <t>kWh per kg</t>
  </si>
  <si>
    <t>RHI Tier 1</t>
  </si>
  <si>
    <t>RHI Tier 2</t>
  </si>
  <si>
    <t>Grammes</t>
  </si>
  <si>
    <t>BIOMASS FUEL TYPE</t>
  </si>
  <si>
    <t>Saving</t>
  </si>
  <si>
    <t>P/kWh</t>
  </si>
  <si>
    <t>Current Fuel type</t>
  </si>
  <si>
    <r>
      <t>CO</t>
    </r>
    <r>
      <rPr>
        <vertAlign val="subscript"/>
        <sz val="16"/>
        <color indexed="8"/>
        <rFont val="Calibri"/>
        <family val="2"/>
      </rPr>
      <t>2 per kWh</t>
    </r>
  </si>
  <si>
    <t>wood chip</t>
  </si>
  <si>
    <t>Mains Gas</t>
  </si>
  <si>
    <t xml:space="preserve">Wood Pellet </t>
  </si>
  <si>
    <t>Heating Oil</t>
  </si>
  <si>
    <t>(From Fuel Calcs Page)</t>
  </si>
  <si>
    <t>Discount Rate Calcualtions</t>
  </si>
  <si>
    <t>Inflation Calculations</t>
  </si>
  <si>
    <t>Fuel</t>
  </si>
  <si>
    <t>discount</t>
  </si>
  <si>
    <t>Cumulative</t>
  </si>
  <si>
    <t>Inflation</t>
  </si>
  <si>
    <t>disc rate</t>
  </si>
  <si>
    <t>Disc</t>
  </si>
  <si>
    <t>Calculator</t>
  </si>
  <si>
    <t>(RHI)</t>
  </si>
  <si>
    <t>BIOMASS</t>
  </si>
  <si>
    <t>Fossil</t>
  </si>
  <si>
    <t>TRECO -CARBON SAVINGS CALCULATION</t>
  </si>
  <si>
    <t>Carbon emissions of different fuels</t>
  </si>
  <si>
    <t>Source:   biomass Energy Centre</t>
  </si>
  <si>
    <t>http://www.biomassenergycentre.org.uk/portal/page?_pageid=75,163182&amp;_dad=portal&amp;_schema=PORTAL</t>
  </si>
  <si>
    <t>Fuels for heating and power</t>
  </si>
  <si>
    <r>
      <t>These represent figures for the carbon or carbon dioxide emitted by full combustion of each fuel, per unit of energy. Note that life cycle CO</t>
    </r>
    <r>
      <rPr>
        <vertAlign val="subscript"/>
        <sz val="9"/>
        <color indexed="8"/>
        <rFont val="Verdana"/>
        <family val="2"/>
      </rPr>
      <t>2</t>
    </r>
    <r>
      <rPr>
        <sz val="9"/>
        <color indexed="8"/>
        <rFont val="Verdana"/>
        <family val="2"/>
      </rPr>
      <t xml:space="preserve"> emissions depend strongly upon details of supply chains, production techniques, forestry or agricultural practice, transport distances, etc.</t>
    </r>
  </si>
  <si>
    <t>Net calorific value (MJ/kg)</t>
  </si>
  <si>
    <t>Carbon content (%)</t>
  </si>
  <si>
    <r>
      <t>Approx. life cycle CO</t>
    </r>
    <r>
      <rPr>
        <b/>
        <vertAlign val="subscript"/>
        <sz val="9"/>
        <color indexed="9"/>
        <rFont val="Verdana"/>
        <family val="2"/>
      </rPr>
      <t>2</t>
    </r>
    <r>
      <rPr>
        <b/>
        <sz val="9"/>
        <color indexed="9"/>
        <rFont val="Verdana"/>
        <family val="2"/>
      </rPr>
      <t xml:space="preserve"> emissions (including production)</t>
    </r>
  </si>
  <si>
    <r>
      <t>Annual total CO</t>
    </r>
    <r>
      <rPr>
        <b/>
        <vertAlign val="subscript"/>
        <sz val="9"/>
        <color indexed="9"/>
        <rFont val="Verdana"/>
        <family val="2"/>
      </rPr>
      <t>2</t>
    </r>
    <r>
      <rPr>
        <b/>
        <sz val="9"/>
        <color indexed="9"/>
        <rFont val="Verdana"/>
        <family val="2"/>
      </rPr>
      <t xml:space="preserve"> emissions to heat a typical house</t>
    </r>
  </si>
  <si>
    <t>See note 1</t>
  </si>
  <si>
    <t>(20,000 kWh/yr)</t>
  </si>
  <si>
    <t>Est Saving</t>
  </si>
  <si>
    <t>kg/GJ</t>
  </si>
  <si>
    <t>kg/MWh</t>
  </si>
  <si>
    <t>kg saved compared with oil</t>
  </si>
  <si>
    <t>kg saved compared with gas</t>
  </si>
  <si>
    <t>Kg /kWh</t>
  </si>
  <si>
    <t>Grmmes /kWh</t>
  </si>
  <si>
    <t>Hard coal</t>
  </si>
  <si>
    <t>Natural gas</t>
  </si>
  <si>
    <t>(UK grid)</t>
  </si>
  <si>
    <t>Wood chips</t>
  </si>
  <si>
    <t>(25% MC) Fuel only</t>
  </si>
  <si>
    <t>(25% MC) Including boiler</t>
  </si>
  <si>
    <t>Wood pellets</t>
  </si>
  <si>
    <t>(10% MC starting from dry wood waste)</t>
  </si>
  <si>
    <t>See note 3</t>
  </si>
  <si>
    <t>(10% MC) Including boiler</t>
  </si>
  <si>
    <t>Grasses/straw</t>
  </si>
  <si>
    <t>1.5 to 4</t>
  </si>
  <si>
    <t>5.4 to 15</t>
  </si>
  <si>
    <t>108 to 300</t>
  </si>
  <si>
    <t>6892 to 6700</t>
  </si>
  <si>
    <t>5292 to 5100</t>
  </si>
  <si>
    <t>(15% MC)</t>
  </si>
  <si>
    <t>This calculator is Denby Dale Stoves interpretation of the information from the Renewable Heat Incentive document, and should only be used as guidance and should not be considered a guarantee</t>
  </si>
  <si>
    <t>DATA SHEET   -For calculations</t>
  </si>
  <si>
    <t>p/Litre</t>
  </si>
  <si>
    <t>%</t>
  </si>
  <si>
    <t>metered usage of property T1</t>
  </si>
  <si>
    <t>metered usage of property T2</t>
  </si>
  <si>
    <t>Total Kwh</t>
  </si>
  <si>
    <r>
      <t>For to complete totals fill in:</t>
    </r>
    <r>
      <rPr>
        <sz val="10"/>
        <rFont val="Calibri"/>
        <family val="2"/>
      </rPr>
      <t xml:space="preserve">
1. Current annual fuel cost 
2. Existing fuel type
3. Boiler output kW 
</t>
    </r>
    <r>
      <rPr>
        <i/>
        <sz val="10"/>
        <rFont val="Calibri"/>
        <family val="2"/>
      </rPr>
      <t xml:space="preserve">To optimise RHI returns the boiler size should produce 1314 annual heat hours.  Change the boiler size until the annual heat hours are approx 1314 hours. </t>
    </r>
    <r>
      <rPr>
        <sz val="10"/>
        <rFont val="Calibri"/>
        <family val="2"/>
      </rPr>
      <t xml:space="preserve">
4. Project cost 
For more accurate figures adjust the yellow boxes (see instruction sheet)</t>
    </r>
  </si>
  <si>
    <t xml:space="preserve"> </t>
  </si>
  <si>
    <t xml:space="preserve">bio fuel inflation </t>
  </si>
  <si>
    <t>RHI Inflation rate index linked</t>
  </si>
  <si>
    <t xml:space="preserve">     RHI Inflation Rate index linked</t>
  </si>
  <si>
    <t xml:space="preserve">fossil fuel inflation </t>
  </si>
  <si>
    <t>Annual Gain</t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</si>
</sst>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??_-;_-@_-"/>
    <numFmt numFmtId="165" formatCode="_-* #,##0.0_-;\-* #,##0.0_-;_-* \-?_-;_-@_-"/>
    <numFmt numFmtId="166" formatCode="\£#,##0"/>
    <numFmt numFmtId="167" formatCode="_-* #,##0_-;\-* #,##0_-;_-* \-??_-;_-@_-"/>
    <numFmt numFmtId="168" formatCode="_-* #,##0.000_-;\-* #,##0.000_-;_-* \-??_-;_-@_-"/>
    <numFmt numFmtId="169" formatCode="0.000"/>
    <numFmt numFmtId="170" formatCode="0.0"/>
    <numFmt numFmtId="171" formatCode="_-* #,##0.0_-;\-* #,##0.0_-;_-* &quot;-&quot;??_-;_-@_-"/>
    <numFmt numFmtId="172" formatCode="_-* #,##0.000_-;\-* #,##0.000_-;_-* &quot;-&quot;??_-;_-@_-"/>
    <numFmt numFmtId="173" formatCode="_-* #,##0_-;\-* #,##0_-;_-* &quot;-&quot;??_-;_-@_-"/>
    <numFmt numFmtId="174" formatCode="[$-809]dd\ mmmm\ yyyy"/>
    <numFmt numFmtId="175" formatCode="0.000;[Red]0.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;[Red]0"/>
    <numFmt numFmtId="181" formatCode="#,##0_ ;[Red]\-#,##0\ "/>
    <numFmt numFmtId="182" formatCode="0_ ;[Red]\-0\ "/>
    <numFmt numFmtId="183" formatCode="#,##0.00000000000_ ;[Red]\-#,##0.00000000000\ "/>
    <numFmt numFmtId="184" formatCode="#,##0.000"/>
    <numFmt numFmtId="185" formatCode="#,##0.00;[Red]#,##0.00"/>
    <numFmt numFmtId="186" formatCode="00000"/>
    <numFmt numFmtId="187" formatCode="#,###,###"/>
    <numFmt numFmtId="188" formatCode="_-* ###,000_-;\-* #,##0.00_-;_-* &quot;-&quot;??_-;_-@_-"/>
    <numFmt numFmtId="189" formatCode="#,"/>
    <numFmt numFmtId="190" formatCode="#,000"/>
    <numFmt numFmtId="191" formatCode="&quot;£&quot;#,##0.00"/>
    <numFmt numFmtId="192" formatCode="&quot;£&quot;#.##0.00"/>
    <numFmt numFmtId="193" formatCode="#.##0"/>
    <numFmt numFmtId="194" formatCode="0.00000"/>
    <numFmt numFmtId="195" formatCode="#.000"/>
    <numFmt numFmtId="196" formatCode="_-* #.##0.0_-;\-* #.##0.0_-;_-* \-?_-;_-@_-"/>
    <numFmt numFmtId="197" formatCode="&quot;£&quot;#,##0"/>
    <numFmt numFmtId="198" formatCode="#,##0.00_ ;\-#,##0.00\ "/>
    <numFmt numFmtId="199" formatCode="#,#00"/>
    <numFmt numFmtId="200" formatCode="#,###"/>
    <numFmt numFmtId="201" formatCode="###"/>
    <numFmt numFmtId="202" formatCode="#"/>
    <numFmt numFmtId="203" formatCode="#."/>
    <numFmt numFmtId="204" formatCode=".###"/>
    <numFmt numFmtId="205" formatCode=".##"/>
    <numFmt numFmtId="206" formatCode="#,##0.00_ ;[Red]\-#,##0.00\ "/>
  </numFmts>
  <fonts count="67">
    <font>
      <sz val="10"/>
      <name val="Arial"/>
      <family val="0"/>
    </font>
    <font>
      <b/>
      <sz val="11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8"/>
      <name val="Calibri"/>
      <family val="2"/>
    </font>
    <font>
      <sz val="8"/>
      <name val="Arial"/>
      <family val="0"/>
    </font>
    <font>
      <b/>
      <sz val="14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10"/>
      <color indexed="10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sz val="10"/>
      <color indexed="23"/>
      <name val="Calibri"/>
      <family val="2"/>
    </font>
    <font>
      <i/>
      <sz val="10"/>
      <color indexed="1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8"/>
      <name val="Calibri"/>
      <family val="2"/>
    </font>
    <font>
      <sz val="16"/>
      <color indexed="8"/>
      <name val="Calibri"/>
      <family val="2"/>
    </font>
    <font>
      <vertAlign val="subscript"/>
      <sz val="16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Verdana"/>
      <family val="2"/>
    </font>
    <font>
      <vertAlign val="subscript"/>
      <sz val="9"/>
      <color indexed="8"/>
      <name val="Verdana"/>
      <family val="2"/>
    </font>
    <font>
      <b/>
      <sz val="9"/>
      <color indexed="9"/>
      <name val="Verdana"/>
      <family val="2"/>
    </font>
    <font>
      <b/>
      <vertAlign val="subscript"/>
      <sz val="9"/>
      <color indexed="9"/>
      <name val="Verdana"/>
      <family val="2"/>
    </font>
    <font>
      <b/>
      <sz val="9"/>
      <color indexed="8"/>
      <name val="Verdana"/>
      <family val="2"/>
    </font>
    <font>
      <i/>
      <sz val="10"/>
      <name val="Calibri"/>
      <family val="2"/>
    </font>
    <font>
      <sz val="10"/>
      <color indexed="8"/>
      <name val="Calibri"/>
      <family val="2"/>
    </font>
    <font>
      <sz val="10"/>
      <color indexed="12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33" borderId="17" xfId="0" applyFill="1" applyBorder="1" applyAlignment="1">
      <alignment/>
    </xf>
    <xf numFmtId="164" fontId="3" fillId="33" borderId="17" xfId="44" applyNumberFormat="1" applyFont="1" applyFill="1" applyBorder="1" applyAlignment="1">
      <alignment/>
    </xf>
    <xf numFmtId="43" fontId="4" fillId="34" borderId="17" xfId="42" applyFont="1" applyFill="1" applyBorder="1" applyAlignment="1" applyProtection="1">
      <alignment/>
      <protection locked="0"/>
    </xf>
    <xf numFmtId="43" fontId="3" fillId="0" borderId="17" xfId="42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center"/>
    </xf>
    <xf numFmtId="43" fontId="2" fillId="0" borderId="17" xfId="42" applyFont="1" applyBorder="1" applyAlignment="1">
      <alignment/>
    </xf>
    <xf numFmtId="9" fontId="0" fillId="0" borderId="17" xfId="0" applyNumberFormat="1" applyBorder="1" applyAlignment="1">
      <alignment/>
    </xf>
    <xf numFmtId="0" fontId="0" fillId="0" borderId="18" xfId="0" applyFill="1" applyBorder="1" applyAlignment="1">
      <alignment/>
    </xf>
    <xf numFmtId="0" fontId="6" fillId="0" borderId="0" xfId="0" applyFont="1" applyAlignment="1">
      <alignment/>
    </xf>
    <xf numFmtId="0" fontId="5" fillId="35" borderId="0" xfId="0" applyFont="1" applyFill="1" applyAlignment="1">
      <alignment horizontal="center"/>
    </xf>
    <xf numFmtId="0" fontId="9" fillId="0" borderId="0" xfId="0" applyFont="1" applyFill="1" applyBorder="1" applyAlignment="1" applyProtection="1">
      <alignment/>
      <protection hidden="1"/>
    </xf>
    <xf numFmtId="0" fontId="9" fillId="36" borderId="0" xfId="0" applyFont="1" applyFill="1" applyAlignment="1" applyProtection="1">
      <alignment/>
      <protection hidden="1"/>
    </xf>
    <xf numFmtId="0" fontId="9" fillId="36" borderId="0" xfId="0" applyFont="1" applyFill="1" applyAlignment="1" applyProtection="1">
      <alignment horizontal="center"/>
      <protection hidden="1"/>
    </xf>
    <xf numFmtId="0" fontId="9" fillId="36" borderId="0" xfId="0" applyFont="1" applyFill="1" applyBorder="1" applyAlignment="1" applyProtection="1">
      <alignment/>
      <protection hidden="1"/>
    </xf>
    <xf numFmtId="0" fontId="9" fillId="37" borderId="0" xfId="0" applyFont="1" applyFill="1" applyAlignment="1" applyProtection="1">
      <alignment/>
      <protection hidden="1"/>
    </xf>
    <xf numFmtId="0" fontId="9" fillId="37" borderId="0" xfId="0" applyFont="1" applyFill="1" applyAlignment="1" applyProtection="1">
      <alignment/>
      <protection hidden="1"/>
    </xf>
    <xf numFmtId="0" fontId="9" fillId="38" borderId="0" xfId="0" applyFont="1" applyFill="1" applyBorder="1" applyAlignment="1" applyProtection="1">
      <alignment/>
      <protection hidden="1"/>
    </xf>
    <xf numFmtId="0" fontId="11" fillId="38" borderId="12" xfId="0" applyFont="1" applyFill="1" applyBorder="1" applyAlignment="1" applyProtection="1">
      <alignment/>
      <protection hidden="1"/>
    </xf>
    <xf numFmtId="0" fontId="9" fillId="0" borderId="19" xfId="0" applyFont="1" applyFill="1" applyBorder="1" applyAlignment="1" applyProtection="1">
      <alignment/>
      <protection hidden="1"/>
    </xf>
    <xf numFmtId="0" fontId="9" fillId="38" borderId="10" xfId="0" applyFont="1" applyFill="1" applyBorder="1" applyAlignment="1" applyProtection="1">
      <alignment/>
      <protection hidden="1"/>
    </xf>
    <xf numFmtId="0" fontId="9" fillId="37" borderId="0" xfId="0" applyFont="1" applyFill="1" applyBorder="1" applyAlignment="1" applyProtection="1">
      <alignment/>
      <protection hidden="1"/>
    </xf>
    <xf numFmtId="0" fontId="9" fillId="38" borderId="20" xfId="0" applyFont="1" applyFill="1" applyBorder="1" applyAlignment="1" applyProtection="1">
      <alignment/>
      <protection hidden="1"/>
    </xf>
    <xf numFmtId="0" fontId="9" fillId="38" borderId="13" xfId="0" applyFont="1" applyFill="1" applyBorder="1" applyAlignment="1" applyProtection="1">
      <alignment/>
      <protection hidden="1"/>
    </xf>
    <xf numFmtId="0" fontId="9" fillId="38" borderId="0" xfId="0" applyFont="1" applyFill="1" applyAlignment="1" applyProtection="1">
      <alignment/>
      <protection hidden="1"/>
    </xf>
    <xf numFmtId="0" fontId="12" fillId="38" borderId="0" xfId="0" applyFont="1" applyFill="1" applyBorder="1" applyAlignment="1" applyProtection="1">
      <alignment/>
      <protection hidden="1"/>
    </xf>
    <xf numFmtId="0" fontId="9" fillId="0" borderId="18" xfId="0" applyFont="1" applyFill="1" applyBorder="1" applyAlignment="1" applyProtection="1">
      <alignment horizontal="center"/>
      <protection hidden="1"/>
    </xf>
    <xf numFmtId="0" fontId="11" fillId="0" borderId="20" xfId="0" applyFont="1" applyFill="1" applyBorder="1" applyAlignment="1" applyProtection="1">
      <alignment/>
      <protection hidden="1"/>
    </xf>
    <xf numFmtId="3" fontId="9" fillId="0" borderId="0" xfId="0" applyNumberFormat="1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13" fillId="0" borderId="20" xfId="0" applyFont="1" applyFill="1" applyBorder="1" applyAlignment="1" applyProtection="1">
      <alignment/>
      <protection hidden="1"/>
    </xf>
    <xf numFmtId="0" fontId="9" fillId="0" borderId="20" xfId="0" applyFont="1" applyFill="1" applyBorder="1" applyAlignment="1" applyProtection="1">
      <alignment/>
      <protection hidden="1"/>
    </xf>
    <xf numFmtId="168" fontId="9" fillId="37" borderId="0" xfId="42" applyNumberFormat="1" applyFont="1" applyFill="1" applyBorder="1" applyAlignment="1" applyProtection="1">
      <alignment vertical="center"/>
      <protection hidden="1"/>
    </xf>
    <xf numFmtId="0" fontId="9" fillId="36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/>
      <protection hidden="1"/>
    </xf>
    <xf numFmtId="0" fontId="9" fillId="36" borderId="0" xfId="0" applyFont="1" applyFill="1" applyBorder="1" applyAlignment="1" applyProtection="1">
      <alignment horizontal="center"/>
      <protection hidden="1"/>
    </xf>
    <xf numFmtId="0" fontId="9" fillId="0" borderId="12" xfId="0" applyFont="1" applyFill="1" applyBorder="1" applyAlignment="1" applyProtection="1">
      <alignment/>
      <protection hidden="1"/>
    </xf>
    <xf numFmtId="0" fontId="9" fillId="0" borderId="19" xfId="0" applyFont="1" applyFill="1" applyBorder="1" applyAlignment="1" applyProtection="1">
      <alignment horizontal="center"/>
      <protection hidden="1"/>
    </xf>
    <xf numFmtId="0" fontId="9" fillId="36" borderId="13" xfId="0" applyFont="1" applyFill="1" applyBorder="1" applyAlignment="1" applyProtection="1">
      <alignment horizontal="center" vertical="center" wrapText="1"/>
      <protection hidden="1"/>
    </xf>
    <xf numFmtId="0" fontId="9" fillId="36" borderId="0" xfId="0" applyFont="1" applyFill="1" applyAlignment="1" applyProtection="1">
      <alignment horizontal="center" vertical="center" wrapText="1"/>
      <protection hidden="1"/>
    </xf>
    <xf numFmtId="9" fontId="9" fillId="38" borderId="20" xfId="59" applyFont="1" applyFill="1" applyBorder="1" applyAlignment="1" applyProtection="1">
      <alignment/>
      <protection hidden="1"/>
    </xf>
    <xf numFmtId="167" fontId="12" fillId="38" borderId="13" xfId="0" applyNumberFormat="1" applyFont="1" applyFill="1" applyBorder="1" applyAlignment="1" applyProtection="1">
      <alignment horizontal="center"/>
      <protection hidden="1"/>
    </xf>
    <xf numFmtId="167" fontId="12" fillId="38" borderId="0" xfId="0" applyNumberFormat="1" applyFont="1" applyFill="1" applyBorder="1" applyAlignment="1" applyProtection="1">
      <alignment horizontal="center"/>
      <protection hidden="1"/>
    </xf>
    <xf numFmtId="3" fontId="9" fillId="38" borderId="0" xfId="42" applyNumberFormat="1" applyFont="1" applyFill="1" applyBorder="1" applyAlignment="1" applyProtection="1">
      <alignment horizontal="center"/>
      <protection hidden="1"/>
    </xf>
    <xf numFmtId="167" fontId="12" fillId="38" borderId="16" xfId="0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0" fillId="0" borderId="24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26" xfId="0" applyFont="1" applyBorder="1" applyAlignment="1">
      <alignment/>
    </xf>
    <xf numFmtId="0" fontId="20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21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31" xfId="0" applyBorder="1" applyAlignment="1">
      <alignment/>
    </xf>
    <xf numFmtId="9" fontId="0" fillId="0" borderId="29" xfId="0" applyNumberFormat="1" applyBorder="1" applyAlignment="1">
      <alignment/>
    </xf>
    <xf numFmtId="43" fontId="3" fillId="0" borderId="29" xfId="42" applyFont="1" applyBorder="1" applyAlignment="1">
      <alignment/>
    </xf>
    <xf numFmtId="9" fontId="0" fillId="0" borderId="24" xfId="0" applyNumberFormat="1" applyBorder="1" applyAlignment="1">
      <alignment/>
    </xf>
    <xf numFmtId="9" fontId="0" fillId="0" borderId="30" xfId="0" applyNumberFormat="1" applyBorder="1" applyAlignment="1">
      <alignment/>
    </xf>
    <xf numFmtId="9" fontId="0" fillId="0" borderId="25" xfId="0" applyNumberFormat="1" applyBorder="1" applyAlignment="1">
      <alignment/>
    </xf>
    <xf numFmtId="43" fontId="3" fillId="0" borderId="30" xfId="42" applyFont="1" applyBorder="1" applyAlignment="1">
      <alignment/>
    </xf>
    <xf numFmtId="9" fontId="0" fillId="0" borderId="31" xfId="0" applyNumberFormat="1" applyBorder="1" applyAlignment="1">
      <alignment/>
    </xf>
    <xf numFmtId="43" fontId="3" fillId="0" borderId="31" xfId="42" applyFont="1" applyBorder="1" applyAlignment="1">
      <alignment/>
    </xf>
    <xf numFmtId="9" fontId="0" fillId="0" borderId="26" xfId="0" applyNumberFormat="1" applyBorder="1" applyAlignment="1">
      <alignment/>
    </xf>
    <xf numFmtId="9" fontId="0" fillId="0" borderId="28" xfId="0" applyNumberFormat="1" applyBorder="1" applyAlignment="1">
      <alignment/>
    </xf>
    <xf numFmtId="0" fontId="0" fillId="39" borderId="0" xfId="0" applyFill="1" applyAlignment="1">
      <alignment/>
    </xf>
    <xf numFmtId="0" fontId="1" fillId="39" borderId="0" xfId="0" applyFont="1" applyFill="1" applyAlignment="1">
      <alignment/>
    </xf>
    <xf numFmtId="17" fontId="2" fillId="39" borderId="0" xfId="0" applyNumberFormat="1" applyFont="1" applyFill="1" applyAlignment="1">
      <alignment/>
    </xf>
    <xf numFmtId="0" fontId="0" fillId="39" borderId="17" xfId="0" applyFill="1" applyBorder="1" applyAlignment="1">
      <alignment/>
    </xf>
    <xf numFmtId="3" fontId="0" fillId="39" borderId="17" xfId="0" applyNumberFormat="1" applyFill="1" applyBorder="1" applyAlignment="1">
      <alignment/>
    </xf>
    <xf numFmtId="0" fontId="2" fillId="40" borderId="12" xfId="0" applyFont="1" applyFill="1" applyBorder="1" applyAlignment="1">
      <alignment/>
    </xf>
    <xf numFmtId="0" fontId="2" fillId="40" borderId="20" xfId="0" applyFont="1" applyFill="1" applyBorder="1" applyAlignment="1">
      <alignment/>
    </xf>
    <xf numFmtId="0" fontId="2" fillId="40" borderId="15" xfId="0" applyFont="1" applyFill="1" applyBorder="1" applyAlignment="1">
      <alignment/>
    </xf>
    <xf numFmtId="43" fontId="3" fillId="40" borderId="17" xfId="42" applyFont="1" applyFill="1" applyBorder="1" applyAlignment="1">
      <alignment/>
    </xf>
    <xf numFmtId="0" fontId="0" fillId="0" borderId="17" xfId="0" applyFill="1" applyBorder="1" applyAlignment="1">
      <alignment/>
    </xf>
    <xf numFmtId="9" fontId="0" fillId="0" borderId="17" xfId="0" applyNumberFormat="1" applyFill="1" applyBorder="1" applyAlignment="1">
      <alignment/>
    </xf>
    <xf numFmtId="43" fontId="4" fillId="0" borderId="17" xfId="42" applyFont="1" applyFill="1" applyBorder="1" applyAlignment="1" applyProtection="1">
      <alignment/>
      <protection locked="0"/>
    </xf>
    <xf numFmtId="43" fontId="3" fillId="0" borderId="17" xfId="42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0" xfId="0" applyFill="1" applyBorder="1" applyAlignment="1">
      <alignment/>
    </xf>
    <xf numFmtId="171" fontId="3" fillId="0" borderId="0" xfId="42" applyNumberFormat="1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22" fillId="0" borderId="0" xfId="0" applyFont="1" applyAlignment="1">
      <alignment/>
    </xf>
    <xf numFmtId="0" fontId="23" fillId="37" borderId="32" xfId="0" applyFont="1" applyFill="1" applyBorder="1" applyAlignment="1">
      <alignment horizontal="center" vertical="center" wrapText="1"/>
    </xf>
    <xf numFmtId="0" fontId="23" fillId="37" borderId="33" xfId="0" applyFont="1" applyFill="1" applyBorder="1" applyAlignment="1">
      <alignment horizontal="center" vertical="center" wrapText="1"/>
    </xf>
    <xf numFmtId="173" fontId="3" fillId="0" borderId="25" xfId="42" applyNumberFormat="1" applyFont="1" applyBorder="1" applyAlignment="1">
      <alignment/>
    </xf>
    <xf numFmtId="173" fontId="3" fillId="0" borderId="28" xfId="42" applyNumberFormat="1" applyFont="1" applyBorder="1" applyAlignment="1">
      <alignment/>
    </xf>
    <xf numFmtId="0" fontId="9" fillId="41" borderId="21" xfId="0" applyFont="1" applyFill="1" applyBorder="1" applyAlignment="1" applyProtection="1">
      <alignment/>
      <protection hidden="1"/>
    </xf>
    <xf numFmtId="0" fontId="9" fillId="41" borderId="22" xfId="0" applyFont="1" applyFill="1" applyBorder="1" applyAlignment="1" applyProtection="1">
      <alignment/>
      <protection hidden="1"/>
    </xf>
    <xf numFmtId="3" fontId="9" fillId="41" borderId="22" xfId="42" applyNumberFormat="1" applyFont="1" applyFill="1" applyBorder="1" applyAlignment="1" applyProtection="1">
      <alignment horizontal="center"/>
      <protection hidden="1"/>
    </xf>
    <xf numFmtId="0" fontId="13" fillId="41" borderId="0" xfId="0" applyFont="1" applyFill="1" applyBorder="1" applyAlignment="1" applyProtection="1">
      <alignment/>
      <protection hidden="1"/>
    </xf>
    <xf numFmtId="0" fontId="9" fillId="42" borderId="0" xfId="0" applyFont="1" applyFill="1" applyBorder="1" applyAlignment="1" applyProtection="1">
      <alignment horizontal="center"/>
      <protection hidden="1"/>
    </xf>
    <xf numFmtId="166" fontId="9" fillId="41" borderId="27" xfId="0" applyNumberFormat="1" applyFont="1" applyFill="1" applyBorder="1" applyAlignment="1" applyProtection="1">
      <alignment horizontal="center"/>
      <protection hidden="1"/>
    </xf>
    <xf numFmtId="0" fontId="9" fillId="42" borderId="0" xfId="0" applyFont="1" applyFill="1" applyBorder="1" applyAlignment="1" applyProtection="1">
      <alignment horizontal="center" vertical="center" wrapText="1"/>
      <protection hidden="1"/>
    </xf>
    <xf numFmtId="0" fontId="14" fillId="41" borderId="24" xfId="0" applyFont="1" applyFill="1" applyBorder="1" applyAlignment="1" applyProtection="1">
      <alignment/>
      <protection hidden="1"/>
    </xf>
    <xf numFmtId="0" fontId="13" fillId="41" borderId="24" xfId="0" applyFont="1" applyFill="1" applyBorder="1" applyAlignment="1" applyProtection="1">
      <alignment/>
      <protection hidden="1"/>
    </xf>
    <xf numFmtId="0" fontId="13" fillId="41" borderId="26" xfId="0" applyFont="1" applyFill="1" applyBorder="1" applyAlignment="1" applyProtection="1">
      <alignment/>
      <protection hidden="1"/>
    </xf>
    <xf numFmtId="0" fontId="13" fillId="41" borderId="27" xfId="0" applyFont="1" applyFill="1" applyBorder="1" applyAlignment="1" applyProtection="1">
      <alignment/>
      <protection hidden="1"/>
    </xf>
    <xf numFmtId="0" fontId="0" fillId="39" borderId="0" xfId="0" applyFill="1" applyAlignment="1">
      <alignment horizontal="left" vertical="top" wrapText="1"/>
    </xf>
    <xf numFmtId="0" fontId="25" fillId="43" borderId="34" xfId="0" applyFont="1" applyFill="1" applyBorder="1" applyAlignment="1">
      <alignment horizontal="center" vertical="center" wrapText="1"/>
    </xf>
    <xf numFmtId="0" fontId="25" fillId="43" borderId="35" xfId="0" applyFont="1" applyFill="1" applyBorder="1" applyAlignment="1">
      <alignment horizontal="center" vertical="center" wrapText="1"/>
    </xf>
    <xf numFmtId="0" fontId="25" fillId="43" borderId="36" xfId="0" applyFont="1" applyFill="1" applyBorder="1" applyAlignment="1">
      <alignment horizontal="center" vertical="center" wrapText="1"/>
    </xf>
    <xf numFmtId="0" fontId="25" fillId="43" borderId="37" xfId="0" applyFont="1" applyFill="1" applyBorder="1" applyAlignment="1">
      <alignment horizontal="center" vertical="center" wrapText="1"/>
    </xf>
    <xf numFmtId="0" fontId="25" fillId="43" borderId="38" xfId="0" applyFont="1" applyFill="1" applyBorder="1" applyAlignment="1">
      <alignment horizontal="center" vertical="center" wrapText="1"/>
    </xf>
    <xf numFmtId="0" fontId="25" fillId="43" borderId="32" xfId="0" applyFont="1" applyFill="1" applyBorder="1" applyAlignment="1">
      <alignment horizontal="center" vertical="center" wrapText="1"/>
    </xf>
    <xf numFmtId="0" fontId="25" fillId="43" borderId="33" xfId="0" applyFont="1" applyFill="1" applyBorder="1" applyAlignment="1">
      <alignment horizontal="center" vertical="center" wrapText="1"/>
    </xf>
    <xf numFmtId="9" fontId="25" fillId="43" borderId="23" xfId="59" applyFont="1" applyFill="1" applyBorder="1" applyAlignment="1">
      <alignment horizontal="center" vertical="center" wrapText="1"/>
    </xf>
    <xf numFmtId="0" fontId="25" fillId="43" borderId="25" xfId="0" applyFont="1" applyFill="1" applyBorder="1" applyAlignment="1">
      <alignment horizontal="center" vertical="center" wrapText="1"/>
    </xf>
    <xf numFmtId="0" fontId="25" fillId="43" borderId="24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27" fillId="39" borderId="32" xfId="0" applyFont="1" applyFill="1" applyBorder="1" applyAlignment="1">
      <alignment horizontal="center" vertical="center" wrapText="1"/>
    </xf>
    <xf numFmtId="171" fontId="20" fillId="39" borderId="0" xfId="42" applyNumberFormat="1" applyFont="1" applyFill="1" applyBorder="1" applyAlignment="1">
      <alignment/>
    </xf>
    <xf numFmtId="169" fontId="20" fillId="39" borderId="0" xfId="42" applyNumberFormat="1" applyFont="1" applyFill="1" applyBorder="1" applyAlignment="1">
      <alignment/>
    </xf>
    <xf numFmtId="175" fontId="20" fillId="39" borderId="0" xfId="42" applyNumberFormat="1" applyFont="1" applyFill="1" applyBorder="1" applyAlignment="1">
      <alignment/>
    </xf>
    <xf numFmtId="172" fontId="20" fillId="39" borderId="0" xfId="42" applyNumberFormat="1" applyFont="1" applyFill="1" applyBorder="1" applyAlignment="1">
      <alignment/>
    </xf>
    <xf numFmtId="171" fontId="3" fillId="39" borderId="0" xfId="42" applyNumberFormat="1" applyFont="1" applyFill="1" applyBorder="1" applyAlignment="1">
      <alignment horizontal="center"/>
    </xf>
    <xf numFmtId="0" fontId="15" fillId="0" borderId="24" xfId="0" applyFont="1" applyFill="1" applyBorder="1" applyAlignment="1" applyProtection="1">
      <alignment horizontal="center" wrapText="1"/>
      <protection hidden="1"/>
    </xf>
    <xf numFmtId="0" fontId="15" fillId="0" borderId="0" xfId="0" applyFont="1" applyFill="1" applyBorder="1" applyAlignment="1" applyProtection="1">
      <alignment horizontal="center" wrapText="1"/>
      <protection hidden="1"/>
    </xf>
    <xf numFmtId="0" fontId="12" fillId="37" borderId="0" xfId="0" applyFont="1" applyFill="1" applyBorder="1" applyAlignment="1" applyProtection="1">
      <alignment/>
      <protection hidden="1"/>
    </xf>
    <xf numFmtId="0" fontId="16" fillId="36" borderId="0" xfId="0" applyFont="1" applyFill="1" applyBorder="1" applyAlignment="1" applyProtection="1">
      <alignment horizontal="center" vertical="top" wrapText="1"/>
      <protection hidden="1"/>
    </xf>
    <xf numFmtId="2" fontId="20" fillId="0" borderId="0" xfId="42" applyNumberFormat="1" applyFont="1" applyFill="1" applyBorder="1" applyAlignment="1">
      <alignment/>
    </xf>
    <xf numFmtId="2" fontId="3" fillId="0" borderId="0" xfId="42" applyNumberFormat="1" applyFont="1" applyFill="1" applyBorder="1" applyAlignment="1">
      <alignment horizontal="center"/>
    </xf>
    <xf numFmtId="0" fontId="0" fillId="0" borderId="25" xfId="0" applyNumberFormat="1" applyBorder="1" applyAlignment="1">
      <alignment/>
    </xf>
    <xf numFmtId="0" fontId="15" fillId="0" borderId="25" xfId="0" applyFont="1" applyFill="1" applyBorder="1" applyAlignment="1" applyProtection="1">
      <alignment horizontal="center" wrapText="1"/>
      <protection hidden="1"/>
    </xf>
    <xf numFmtId="0" fontId="15" fillId="0" borderId="26" xfId="0" applyFont="1" applyFill="1" applyBorder="1" applyAlignment="1" applyProtection="1">
      <alignment horizontal="center" wrapText="1"/>
      <protection hidden="1"/>
    </xf>
    <xf numFmtId="0" fontId="15" fillId="0" borderId="27" xfId="0" applyFont="1" applyFill="1" applyBorder="1" applyAlignment="1" applyProtection="1">
      <alignment horizontal="center" wrapText="1"/>
      <protection hidden="1"/>
    </xf>
    <xf numFmtId="0" fontId="15" fillId="0" borderId="28" xfId="0" applyFont="1" applyFill="1" applyBorder="1" applyAlignment="1" applyProtection="1">
      <alignment horizontal="center" wrapText="1"/>
      <protection hidden="1"/>
    </xf>
    <xf numFmtId="0" fontId="8" fillId="37" borderId="0" xfId="0" applyFont="1" applyFill="1" applyBorder="1" applyAlignment="1" applyProtection="1">
      <alignment horizontal="left"/>
      <protection hidden="1"/>
    </xf>
    <xf numFmtId="0" fontId="9" fillId="37" borderId="0" xfId="0" applyFont="1" applyFill="1" applyBorder="1" applyAlignment="1" applyProtection="1">
      <alignment/>
      <protection hidden="1"/>
    </xf>
    <xf numFmtId="0" fontId="8" fillId="37" borderId="0" xfId="0" applyFont="1" applyFill="1" applyBorder="1" applyAlignment="1" applyProtection="1">
      <alignment/>
      <protection hidden="1"/>
    </xf>
    <xf numFmtId="0" fontId="12" fillId="36" borderId="0" xfId="0" applyFont="1" applyFill="1" applyAlignment="1" applyProtection="1">
      <alignment/>
      <protection hidden="1"/>
    </xf>
    <xf numFmtId="3" fontId="0" fillId="0" borderId="0" xfId="0" applyNumberFormat="1" applyAlignment="1">
      <alignment/>
    </xf>
    <xf numFmtId="2" fontId="4" fillId="34" borderId="17" xfId="42" applyNumberFormat="1" applyFont="1" applyFill="1" applyBorder="1" applyAlignment="1" applyProtection="1">
      <alignment/>
      <protection locked="0"/>
    </xf>
    <xf numFmtId="2" fontId="3" fillId="0" borderId="17" xfId="42" applyNumberFormat="1" applyFont="1" applyBorder="1" applyAlignment="1">
      <alignment/>
    </xf>
    <xf numFmtId="0" fontId="0" fillId="35" borderId="0" xfId="0" applyNumberFormat="1" applyFill="1" applyAlignment="1">
      <alignment/>
    </xf>
    <xf numFmtId="169" fontId="20" fillId="0" borderId="0" xfId="42" applyNumberFormat="1" applyFont="1" applyFill="1" applyBorder="1" applyAlignment="1">
      <alignment/>
    </xf>
    <xf numFmtId="0" fontId="11" fillId="38" borderId="20" xfId="0" applyFont="1" applyFill="1" applyBorder="1" applyAlignment="1" applyProtection="1">
      <alignment/>
      <protection hidden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3" fontId="9" fillId="0" borderId="18" xfId="0" applyNumberFormat="1" applyFont="1" applyFill="1" applyBorder="1" applyAlignment="1" applyProtection="1">
      <alignment horizontal="center"/>
      <protection hidden="1"/>
    </xf>
    <xf numFmtId="3" fontId="9" fillId="0" borderId="14" xfId="0" applyNumberFormat="1" applyFont="1" applyFill="1" applyBorder="1" applyAlignment="1" applyProtection="1">
      <alignment horizontal="center"/>
      <protection hidden="1"/>
    </xf>
    <xf numFmtId="165" fontId="9" fillId="0" borderId="20" xfId="0" applyNumberFormat="1" applyFont="1" applyFill="1" applyBorder="1" applyAlignment="1" applyProtection="1">
      <alignment horizontal="center"/>
      <protection hidden="1"/>
    </xf>
    <xf numFmtId="3" fontId="9" fillId="0" borderId="20" xfId="0" applyNumberFormat="1" applyFont="1" applyFill="1" applyBorder="1" applyAlignment="1" applyProtection="1">
      <alignment horizontal="center"/>
      <protection hidden="1"/>
    </xf>
    <xf numFmtId="0" fontId="9" fillId="0" borderId="20" xfId="0" applyFont="1" applyFill="1" applyBorder="1" applyAlignment="1" applyProtection="1">
      <alignment horizontal="center"/>
      <protection hidden="1"/>
    </xf>
    <xf numFmtId="0" fontId="9" fillId="0" borderId="15" xfId="0" applyFont="1" applyFill="1" applyBorder="1" applyAlignment="1" applyProtection="1">
      <alignment horizontal="center"/>
      <protection hidden="1"/>
    </xf>
    <xf numFmtId="0" fontId="9" fillId="37" borderId="0" xfId="0" applyFont="1" applyFill="1" applyBorder="1" applyAlignment="1" applyProtection="1">
      <alignment horizontal="right"/>
      <protection hidden="1"/>
    </xf>
    <xf numFmtId="3" fontId="9" fillId="44" borderId="39" xfId="0" applyNumberFormat="1" applyFont="1" applyFill="1" applyBorder="1" applyAlignment="1" applyProtection="1">
      <alignment horizontal="right"/>
      <protection locked="0"/>
    </xf>
    <xf numFmtId="3" fontId="9" fillId="0" borderId="0" xfId="0" applyNumberFormat="1" applyFont="1" applyFill="1" applyBorder="1" applyAlignment="1" applyProtection="1">
      <alignment horizontal="right"/>
      <protection locked="0"/>
    </xf>
    <xf numFmtId="3" fontId="9" fillId="0" borderId="17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166" fontId="9" fillId="38" borderId="0" xfId="0" applyNumberFormat="1" applyFont="1" applyFill="1" applyBorder="1" applyAlignment="1" applyProtection="1">
      <alignment horizontal="right"/>
      <protection hidden="1"/>
    </xf>
    <xf numFmtId="195" fontId="9" fillId="36" borderId="17" xfId="0" applyNumberFormat="1" applyFont="1" applyFill="1" applyBorder="1" applyAlignment="1" applyProtection="1">
      <alignment horizontal="right"/>
      <protection hidden="1"/>
    </xf>
    <xf numFmtId="0" fontId="9" fillId="0" borderId="0" xfId="0" applyFont="1" applyFill="1" applyBorder="1" applyAlignment="1" applyProtection="1">
      <alignment horizontal="right"/>
      <protection hidden="1"/>
    </xf>
    <xf numFmtId="3" fontId="9" fillId="38" borderId="39" xfId="0" applyNumberFormat="1" applyFont="1" applyFill="1" applyBorder="1" applyAlignment="1" applyProtection="1">
      <alignment horizontal="right"/>
      <protection hidden="1"/>
    </xf>
    <xf numFmtId="3" fontId="9" fillId="38" borderId="0" xfId="0" applyNumberFormat="1" applyFont="1" applyFill="1" applyBorder="1" applyAlignment="1" applyProtection="1">
      <alignment horizontal="right"/>
      <protection hidden="1"/>
    </xf>
    <xf numFmtId="0" fontId="9" fillId="44" borderId="39" xfId="0" applyFont="1" applyFill="1" applyBorder="1" applyAlignment="1" applyProtection="1">
      <alignment horizontal="right"/>
      <protection locked="0"/>
    </xf>
    <xf numFmtId="0" fontId="9" fillId="38" borderId="0" xfId="0" applyFont="1" applyFill="1" applyBorder="1" applyAlignment="1" applyProtection="1">
      <alignment horizontal="right"/>
      <protection hidden="1"/>
    </xf>
    <xf numFmtId="9" fontId="9" fillId="44" borderId="39" xfId="0" applyNumberFormat="1" applyFont="1" applyFill="1" applyBorder="1" applyAlignment="1" applyProtection="1">
      <alignment horizontal="right"/>
      <protection locked="0"/>
    </xf>
    <xf numFmtId="9" fontId="9" fillId="38" borderId="0" xfId="0" applyNumberFormat="1" applyFont="1" applyFill="1" applyBorder="1" applyAlignment="1" applyProtection="1">
      <alignment horizontal="right"/>
      <protection locked="0"/>
    </xf>
    <xf numFmtId="0" fontId="9" fillId="38" borderId="0" xfId="0" applyFont="1" applyFill="1" applyBorder="1" applyAlignment="1" applyProtection="1">
      <alignment horizontal="right" vertical="center"/>
      <protection hidden="1"/>
    </xf>
    <xf numFmtId="2" fontId="9" fillId="0" borderId="17" xfId="0" applyNumberFormat="1" applyFont="1" applyFill="1" applyBorder="1" applyAlignment="1" applyProtection="1">
      <alignment horizontal="right" vertical="center"/>
      <protection hidden="1"/>
    </xf>
    <xf numFmtId="2" fontId="9" fillId="0" borderId="0" xfId="0" applyNumberFormat="1" applyFont="1" applyFill="1" applyBorder="1" applyAlignment="1" applyProtection="1">
      <alignment horizontal="right" vertical="center"/>
      <protection hidden="1"/>
    </xf>
    <xf numFmtId="169" fontId="9" fillId="0" borderId="17" xfId="42" applyNumberFormat="1" applyFont="1" applyFill="1" applyBorder="1" applyAlignment="1" applyProtection="1">
      <alignment horizontal="right" vertical="center"/>
      <protection hidden="1"/>
    </xf>
    <xf numFmtId="169" fontId="9" fillId="0" borderId="0" xfId="42" applyNumberFormat="1" applyFont="1" applyFill="1" applyBorder="1" applyAlignment="1" applyProtection="1">
      <alignment horizontal="right" vertical="center"/>
      <protection hidden="1"/>
    </xf>
    <xf numFmtId="169" fontId="9" fillId="0" borderId="39" xfId="42" applyNumberFormat="1" applyFont="1" applyFill="1" applyBorder="1" applyAlignment="1" applyProtection="1">
      <alignment horizontal="right" vertical="center"/>
      <protection hidden="1"/>
    </xf>
    <xf numFmtId="0" fontId="9" fillId="0" borderId="19" xfId="0" applyFont="1" applyFill="1" applyBorder="1" applyAlignment="1" applyProtection="1">
      <alignment horizontal="right"/>
      <protection hidden="1"/>
    </xf>
    <xf numFmtId="0" fontId="9" fillId="36" borderId="0" xfId="0" applyFont="1" applyFill="1" applyBorder="1" applyAlignment="1" applyProtection="1">
      <alignment horizontal="right"/>
      <protection hidden="1"/>
    </xf>
    <xf numFmtId="0" fontId="0" fillId="0" borderId="0" xfId="0" applyBorder="1" applyAlignment="1">
      <alignment horizontal="right"/>
    </xf>
    <xf numFmtId="0" fontId="11" fillId="0" borderId="19" xfId="0" applyFont="1" applyFill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/>
      <protection hidden="1"/>
    </xf>
    <xf numFmtId="2" fontId="9" fillId="0" borderId="17" xfId="0" applyNumberFormat="1" applyFont="1" applyFill="1" applyBorder="1" applyAlignment="1" applyProtection="1">
      <alignment horizontal="right"/>
      <protection hidden="1"/>
    </xf>
    <xf numFmtId="0" fontId="16" fillId="36" borderId="0" xfId="0" applyFont="1" applyFill="1" applyBorder="1" applyAlignment="1" applyProtection="1">
      <alignment horizontal="right" vertical="top" wrapText="1"/>
      <protection hidden="1"/>
    </xf>
    <xf numFmtId="9" fontId="9" fillId="45" borderId="17" xfId="0" applyNumberFormat="1" applyFont="1" applyFill="1" applyBorder="1" applyAlignment="1" applyProtection="1">
      <alignment horizontal="right"/>
      <protection locked="0"/>
    </xf>
    <xf numFmtId="9" fontId="9" fillId="45" borderId="39" xfId="59" applyFont="1" applyFill="1" applyBorder="1" applyAlignment="1" applyProtection="1">
      <alignment horizontal="right"/>
      <protection locked="0"/>
    </xf>
    <xf numFmtId="0" fontId="9" fillId="0" borderId="0" xfId="0" applyFont="1" applyAlignment="1">
      <alignment/>
    </xf>
    <xf numFmtId="164" fontId="9" fillId="44" borderId="40" xfId="44" applyNumberFormat="1" applyFont="1" applyFill="1" applyBorder="1" applyAlignment="1" applyProtection="1">
      <alignment horizontal="right"/>
      <protection locked="0"/>
    </xf>
    <xf numFmtId="164" fontId="9" fillId="0" borderId="0" xfId="44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>
      <alignment horizontal="right"/>
    </xf>
    <xf numFmtId="3" fontId="9" fillId="0" borderId="17" xfId="0" applyNumberFormat="1" applyFont="1" applyBorder="1" applyAlignment="1">
      <alignment horizontal="right"/>
    </xf>
    <xf numFmtId="0" fontId="29" fillId="0" borderId="19" xfId="0" applyFont="1" applyBorder="1" applyAlignment="1" applyProtection="1">
      <alignment horizontal="right"/>
      <protection hidden="1"/>
    </xf>
    <xf numFmtId="0" fontId="29" fillId="0" borderId="19" xfId="0" applyFont="1" applyBorder="1" applyAlignment="1" applyProtection="1">
      <alignment horizontal="center"/>
      <protection hidden="1"/>
    </xf>
    <xf numFmtId="0" fontId="29" fillId="0" borderId="0" xfId="0" applyFont="1" applyBorder="1" applyAlignment="1" applyProtection="1">
      <alignment horizontal="center"/>
      <protection hidden="1"/>
    </xf>
    <xf numFmtId="2" fontId="29" fillId="0" borderId="0" xfId="0" applyNumberFormat="1" applyFont="1" applyBorder="1" applyAlignment="1" applyProtection="1">
      <alignment horizontal="center"/>
      <protection hidden="1"/>
    </xf>
    <xf numFmtId="0" fontId="29" fillId="0" borderId="0" xfId="0" applyFont="1" applyBorder="1" applyAlignment="1" applyProtection="1">
      <alignment horizontal="right"/>
      <protection hidden="1"/>
    </xf>
    <xf numFmtId="0" fontId="30" fillId="0" borderId="0" xfId="0" applyFont="1" applyFill="1" applyBorder="1" applyAlignment="1" applyProtection="1">
      <alignment horizontal="right"/>
      <protection hidden="1"/>
    </xf>
    <xf numFmtId="0" fontId="9" fillId="36" borderId="20" xfId="0" applyFont="1" applyFill="1" applyBorder="1" applyAlignment="1" applyProtection="1">
      <alignment/>
      <protection hidden="1"/>
    </xf>
    <xf numFmtId="0" fontId="9" fillId="0" borderId="15" xfId="0" applyFont="1" applyFill="1" applyBorder="1" applyAlignment="1" applyProtection="1">
      <alignment/>
      <protection hidden="1"/>
    </xf>
    <xf numFmtId="0" fontId="9" fillId="38" borderId="41" xfId="0" applyFont="1" applyFill="1" applyBorder="1" applyAlignment="1" applyProtection="1">
      <alignment horizontal="center"/>
      <protection hidden="1"/>
    </xf>
    <xf numFmtId="0" fontId="9" fillId="38" borderId="41" xfId="0" applyFont="1" applyFill="1" applyBorder="1" applyAlignment="1" applyProtection="1">
      <alignment horizontal="right"/>
      <protection hidden="1"/>
    </xf>
    <xf numFmtId="0" fontId="9" fillId="38" borderId="41" xfId="0" applyFont="1" applyFill="1" applyBorder="1" applyAlignment="1" applyProtection="1">
      <alignment/>
      <protection hidden="1"/>
    </xf>
    <xf numFmtId="0" fontId="9" fillId="0" borderId="41" xfId="0" applyFont="1" applyFill="1" applyBorder="1" applyAlignment="1" applyProtection="1">
      <alignment/>
      <protection hidden="1"/>
    </xf>
    <xf numFmtId="0" fontId="9" fillId="0" borderId="41" xfId="0" applyFont="1" applyFill="1" applyBorder="1" applyAlignment="1" applyProtection="1">
      <alignment horizontal="right"/>
      <protection hidden="1"/>
    </xf>
    <xf numFmtId="43" fontId="9" fillId="45" borderId="17" xfId="0" applyNumberFormat="1" applyFont="1" applyFill="1" applyBorder="1" applyAlignment="1" applyProtection="1">
      <alignment horizontal="right"/>
      <protection/>
    </xf>
    <xf numFmtId="185" fontId="9" fillId="45" borderId="17" xfId="0" applyNumberFormat="1" applyFont="1" applyFill="1" applyBorder="1" applyAlignment="1" applyProtection="1">
      <alignment horizontal="right"/>
      <protection/>
    </xf>
    <xf numFmtId="0" fontId="9" fillId="0" borderId="17" xfId="0" applyFont="1" applyFill="1" applyBorder="1" applyAlignment="1" applyProtection="1">
      <alignment horizontal="right"/>
      <protection hidden="1"/>
    </xf>
    <xf numFmtId="170" fontId="9" fillId="0" borderId="17" xfId="0" applyNumberFormat="1" applyFont="1" applyFill="1" applyBorder="1" applyAlignment="1" applyProtection="1">
      <alignment horizontal="right"/>
      <protection hidden="1"/>
    </xf>
    <xf numFmtId="0" fontId="29" fillId="0" borderId="17" xfId="0" applyFont="1" applyBorder="1" applyAlignment="1" applyProtection="1">
      <alignment horizontal="right"/>
      <protection hidden="1"/>
    </xf>
    <xf numFmtId="0" fontId="9" fillId="39" borderId="17" xfId="0" applyFont="1" applyFill="1" applyBorder="1" applyAlignment="1" applyProtection="1">
      <alignment horizontal="right"/>
      <protection locked="0"/>
    </xf>
    <xf numFmtId="170" fontId="9" fillId="39" borderId="17" xfId="0" applyNumberFormat="1" applyFont="1" applyFill="1" applyBorder="1" applyAlignment="1" applyProtection="1">
      <alignment horizontal="right"/>
      <protection locked="0"/>
    </xf>
    <xf numFmtId="2" fontId="29" fillId="0" borderId="17" xfId="0" applyNumberFormat="1" applyFont="1" applyBorder="1" applyAlignment="1" applyProtection="1">
      <alignment horizontal="right"/>
      <protection hidden="1"/>
    </xf>
    <xf numFmtId="0" fontId="9" fillId="0" borderId="0" xfId="0" applyFont="1" applyFill="1" applyBorder="1" applyAlignment="1" applyProtection="1">
      <alignment horizontal="left"/>
      <protection hidden="1"/>
    </xf>
    <xf numFmtId="0" fontId="9" fillId="38" borderId="0" xfId="0" applyFont="1" applyFill="1" applyBorder="1" applyAlignment="1" applyProtection="1">
      <alignment horizontal="left"/>
      <protection hidden="1"/>
    </xf>
    <xf numFmtId="10" fontId="0" fillId="0" borderId="0" xfId="0" applyNumberFormat="1" applyAlignment="1">
      <alignment/>
    </xf>
    <xf numFmtId="197" fontId="31" fillId="43" borderId="17" xfId="0" applyNumberFormat="1" applyFont="1" applyFill="1" applyBorder="1" applyAlignment="1">
      <alignment/>
    </xf>
    <xf numFmtId="0" fontId="9" fillId="0" borderId="11" xfId="0" applyFont="1" applyFill="1" applyBorder="1" applyAlignment="1" applyProtection="1">
      <alignment horizontal="center"/>
      <protection hidden="1"/>
    </xf>
    <xf numFmtId="4" fontId="12" fillId="46" borderId="13" xfId="0" applyNumberFormat="1" applyFont="1" applyFill="1" applyBorder="1" applyAlignment="1" applyProtection="1">
      <alignment horizontal="center"/>
      <protection hidden="1"/>
    </xf>
    <xf numFmtId="166" fontId="13" fillId="38" borderId="42" xfId="0" applyNumberFormat="1" applyFont="1" applyFill="1" applyBorder="1" applyAlignment="1" applyProtection="1">
      <alignment horizontal="center"/>
      <protection hidden="1"/>
    </xf>
    <xf numFmtId="0" fontId="13" fillId="41" borderId="0" xfId="0" applyFont="1" applyFill="1" applyBorder="1" applyAlignment="1" applyProtection="1">
      <alignment horizontal="center"/>
      <protection hidden="1"/>
    </xf>
    <xf numFmtId="0" fontId="13" fillId="38" borderId="42" xfId="0" applyFont="1" applyFill="1" applyBorder="1" applyAlignment="1" applyProtection="1">
      <alignment horizontal="center"/>
      <protection hidden="1"/>
    </xf>
    <xf numFmtId="166" fontId="13" fillId="41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Border="1" applyAlignment="1">
      <alignment wrapText="1"/>
    </xf>
    <xf numFmtId="202" fontId="9" fillId="0" borderId="17" xfId="0" applyNumberFormat="1" applyFont="1" applyFill="1" applyBorder="1" applyAlignment="1" applyProtection="1">
      <alignment horizontal="right"/>
      <protection/>
    </xf>
    <xf numFmtId="205" fontId="29" fillId="0" borderId="17" xfId="0" applyNumberFormat="1" applyFont="1" applyBorder="1" applyAlignment="1" applyProtection="1">
      <alignment horizontal="right"/>
      <protection hidden="1"/>
    </xf>
    <xf numFmtId="206" fontId="12" fillId="47" borderId="13" xfId="0" applyNumberFormat="1" applyFont="1" applyFill="1" applyBorder="1" applyAlignment="1" applyProtection="1">
      <alignment horizontal="center"/>
      <protection hidden="1"/>
    </xf>
    <xf numFmtId="166" fontId="13" fillId="44" borderId="42" xfId="0" applyNumberFormat="1" applyFont="1" applyFill="1" applyBorder="1" applyAlignment="1" applyProtection="1">
      <alignment horizontal="center"/>
      <protection hidden="1"/>
    </xf>
    <xf numFmtId="0" fontId="15" fillId="0" borderId="21" xfId="0" applyFont="1" applyFill="1" applyBorder="1" applyAlignment="1" applyProtection="1">
      <alignment horizontal="center" wrapText="1"/>
      <protection hidden="1"/>
    </xf>
    <xf numFmtId="0" fontId="15" fillId="0" borderId="22" xfId="0" applyFont="1" applyFill="1" applyBorder="1" applyAlignment="1" applyProtection="1">
      <alignment horizontal="center" wrapText="1"/>
      <protection hidden="1"/>
    </xf>
    <xf numFmtId="0" fontId="15" fillId="0" borderId="23" xfId="0" applyFont="1" applyFill="1" applyBorder="1" applyAlignment="1" applyProtection="1">
      <alignment horizontal="center" wrapText="1"/>
      <protection hidden="1"/>
    </xf>
    <xf numFmtId="0" fontId="15" fillId="0" borderId="24" xfId="0" applyFont="1" applyFill="1" applyBorder="1" applyAlignment="1" applyProtection="1">
      <alignment horizontal="center" wrapText="1"/>
      <protection hidden="1"/>
    </xf>
    <xf numFmtId="0" fontId="15" fillId="0" borderId="0" xfId="0" applyFont="1" applyFill="1" applyBorder="1" applyAlignment="1" applyProtection="1">
      <alignment horizontal="center" wrapText="1"/>
      <protection hidden="1"/>
    </xf>
    <xf numFmtId="0" fontId="15" fillId="0" borderId="25" xfId="0" applyFont="1" applyFill="1" applyBorder="1" applyAlignment="1" applyProtection="1">
      <alignment horizontal="center" wrapText="1"/>
      <protection hidden="1"/>
    </xf>
    <xf numFmtId="0" fontId="10" fillId="48" borderId="11" xfId="0" applyFont="1" applyFill="1" applyBorder="1" applyAlignment="1" applyProtection="1">
      <alignment horizontal="center" vertical="center" wrapText="1"/>
      <protection hidden="1"/>
    </xf>
    <xf numFmtId="0" fontId="10" fillId="48" borderId="14" xfId="0" applyFont="1" applyFill="1" applyBorder="1" applyAlignment="1" applyProtection="1">
      <alignment horizontal="center" vertical="center" wrapText="1"/>
      <protection hidden="1"/>
    </xf>
    <xf numFmtId="0" fontId="11" fillId="36" borderId="12" xfId="0" applyFont="1" applyFill="1" applyBorder="1" applyAlignment="1" applyProtection="1">
      <alignment horizontal="left" vertical="top" wrapText="1"/>
      <protection hidden="1"/>
    </xf>
    <xf numFmtId="0" fontId="9" fillId="36" borderId="19" xfId="0" applyFont="1" applyFill="1" applyBorder="1" applyAlignment="1" applyProtection="1">
      <alignment horizontal="left" vertical="top" wrapText="1"/>
      <protection hidden="1"/>
    </xf>
    <xf numFmtId="0" fontId="9" fillId="36" borderId="10" xfId="0" applyFont="1" applyFill="1" applyBorder="1" applyAlignment="1" applyProtection="1">
      <alignment horizontal="left" vertical="top" wrapText="1"/>
      <protection hidden="1"/>
    </xf>
    <xf numFmtId="0" fontId="9" fillId="36" borderId="20" xfId="0" applyFont="1" applyFill="1" applyBorder="1" applyAlignment="1" applyProtection="1">
      <alignment horizontal="left" vertical="top" wrapText="1"/>
      <protection hidden="1"/>
    </xf>
    <xf numFmtId="0" fontId="9" fillId="36" borderId="0" xfId="0" applyFont="1" applyFill="1" applyBorder="1" applyAlignment="1" applyProtection="1">
      <alignment horizontal="left" vertical="top" wrapText="1"/>
      <protection hidden="1"/>
    </xf>
    <xf numFmtId="0" fontId="9" fillId="36" borderId="13" xfId="0" applyFont="1" applyFill="1" applyBorder="1" applyAlignment="1" applyProtection="1">
      <alignment horizontal="left" vertical="top" wrapText="1"/>
      <protection hidden="1"/>
    </xf>
    <xf numFmtId="165" fontId="10" fillId="48" borderId="11" xfId="0" applyNumberFormat="1" applyFont="1" applyFill="1" applyBorder="1" applyAlignment="1" applyProtection="1">
      <alignment horizontal="center" vertical="center" wrapText="1"/>
      <protection hidden="1"/>
    </xf>
    <xf numFmtId="165" fontId="10" fillId="48" borderId="14" xfId="0" applyNumberFormat="1" applyFont="1" applyFill="1" applyBorder="1" applyAlignment="1" applyProtection="1">
      <alignment horizontal="center" vertical="center" wrapText="1"/>
      <protection hidden="1"/>
    </xf>
    <xf numFmtId="0" fontId="23" fillId="37" borderId="43" xfId="0" applyFont="1" applyFill="1" applyBorder="1" applyAlignment="1">
      <alignment horizontal="center" vertical="center" wrapText="1"/>
    </xf>
    <xf numFmtId="0" fontId="23" fillId="37" borderId="44" xfId="0" applyFont="1" applyFill="1" applyBorder="1" applyAlignment="1">
      <alignment horizontal="center" vertical="center" wrapText="1"/>
    </xf>
    <xf numFmtId="0" fontId="23" fillId="37" borderId="45" xfId="0" applyFont="1" applyFill="1" applyBorder="1" applyAlignment="1">
      <alignment horizontal="center" vertical="center" wrapText="1"/>
    </xf>
    <xf numFmtId="0" fontId="23" fillId="37" borderId="46" xfId="0" applyFont="1" applyFill="1" applyBorder="1" applyAlignment="1">
      <alignment horizontal="center" vertical="center" wrapText="1"/>
    </xf>
    <xf numFmtId="0" fontId="23" fillId="37" borderId="47" xfId="0" applyFont="1" applyFill="1" applyBorder="1" applyAlignment="1">
      <alignment horizontal="center" vertical="center" wrapText="1"/>
    </xf>
    <xf numFmtId="0" fontId="23" fillId="37" borderId="48" xfId="0" applyFont="1" applyFill="1" applyBorder="1" applyAlignment="1">
      <alignment horizontal="center" vertical="center" wrapText="1"/>
    </xf>
    <xf numFmtId="0" fontId="23" fillId="37" borderId="49" xfId="0" applyFont="1" applyFill="1" applyBorder="1" applyAlignment="1">
      <alignment horizontal="center" vertical="center" wrapText="1"/>
    </xf>
    <xf numFmtId="0" fontId="27" fillId="39" borderId="43" xfId="0" applyFont="1" applyFill="1" applyBorder="1" applyAlignment="1">
      <alignment horizontal="center" vertical="center" wrapText="1"/>
    </xf>
    <xf numFmtId="0" fontId="27" fillId="39" borderId="49" xfId="0" applyFont="1" applyFill="1" applyBorder="1" applyAlignment="1">
      <alignment horizontal="center" vertical="center" wrapText="1"/>
    </xf>
    <xf numFmtId="0" fontId="23" fillId="37" borderId="50" xfId="0" applyFont="1" applyFill="1" applyBorder="1" applyAlignment="1">
      <alignment horizontal="center" vertical="center" wrapText="1"/>
    </xf>
    <xf numFmtId="0" fontId="27" fillId="39" borderId="44" xfId="0" applyFont="1" applyFill="1" applyBorder="1" applyAlignment="1">
      <alignment horizontal="center" vertical="center" wrapText="1"/>
    </xf>
    <xf numFmtId="0" fontId="27" fillId="39" borderId="45" xfId="0" applyFont="1" applyFill="1" applyBorder="1" applyAlignment="1">
      <alignment horizontal="center" vertical="center" wrapText="1"/>
    </xf>
    <xf numFmtId="0" fontId="0" fillId="49" borderId="0" xfId="0" applyFill="1" applyAlignment="1">
      <alignment wrapText="1"/>
    </xf>
    <xf numFmtId="0" fontId="0" fillId="49" borderId="13" xfId="0" applyFill="1" applyBorder="1" applyAlignment="1">
      <alignment wrapText="1"/>
    </xf>
    <xf numFmtId="0" fontId="0" fillId="39" borderId="0" xfId="0" applyFill="1" applyAlignment="1">
      <alignment horizontal="left" vertical="top" wrapText="1"/>
    </xf>
    <xf numFmtId="0" fontId="23" fillId="39" borderId="0" xfId="0" applyFont="1" applyFill="1" applyAlignment="1">
      <alignment horizontal="left" vertical="top" wrapText="1"/>
    </xf>
    <xf numFmtId="0" fontId="25" fillId="43" borderId="51" xfId="0" applyFont="1" applyFill="1" applyBorder="1" applyAlignment="1">
      <alignment horizontal="center" vertical="center" wrapText="1"/>
    </xf>
    <xf numFmtId="0" fontId="25" fillId="43" borderId="34" xfId="0" applyFont="1" applyFill="1" applyBorder="1" applyAlignment="1">
      <alignment horizontal="center" vertical="center" wrapText="1"/>
    </xf>
    <xf numFmtId="0" fontId="25" fillId="43" borderId="35" xfId="0" applyFont="1" applyFill="1" applyBorder="1" applyAlignment="1">
      <alignment horizontal="center" vertical="center" wrapText="1"/>
    </xf>
    <xf numFmtId="0" fontId="25" fillId="43" borderId="52" xfId="0" applyFont="1" applyFill="1" applyBorder="1" applyAlignment="1">
      <alignment horizontal="center" vertical="center" wrapText="1"/>
    </xf>
    <xf numFmtId="0" fontId="25" fillId="43" borderId="44" xfId="0" applyFont="1" applyFill="1" applyBorder="1" applyAlignment="1">
      <alignment horizontal="center" vertical="center" wrapText="1"/>
    </xf>
    <xf numFmtId="0" fontId="25" fillId="43" borderId="45" xfId="0" applyFont="1" applyFill="1" applyBorder="1" applyAlignment="1">
      <alignment horizontal="center" vertical="center" wrapText="1"/>
    </xf>
    <xf numFmtId="0" fontId="25" fillId="43" borderId="53" xfId="0" applyFont="1" applyFill="1" applyBorder="1" applyAlignment="1">
      <alignment horizontal="center" vertical="center" wrapText="1"/>
    </xf>
    <xf numFmtId="0" fontId="25" fillId="43" borderId="54" xfId="0" applyFont="1" applyFill="1" applyBorder="1" applyAlignment="1">
      <alignment horizontal="center" vertical="center" wrapText="1"/>
    </xf>
    <xf numFmtId="0" fontId="25" fillId="43" borderId="55" xfId="0" applyFont="1" applyFill="1" applyBorder="1" applyAlignment="1">
      <alignment horizontal="center" vertical="center" wrapText="1"/>
    </xf>
    <xf numFmtId="0" fontId="25" fillId="43" borderId="56" xfId="0" applyFont="1" applyFill="1" applyBorder="1" applyAlignment="1">
      <alignment horizontal="center" vertical="center" wrapText="1"/>
    </xf>
    <xf numFmtId="0" fontId="25" fillId="43" borderId="57" xfId="0" applyFont="1" applyFill="1" applyBorder="1" applyAlignment="1">
      <alignment horizontal="center" vertical="center" wrapText="1"/>
    </xf>
    <xf numFmtId="0" fontId="25" fillId="43" borderId="58" xfId="0" applyFont="1" applyFill="1" applyBorder="1" applyAlignment="1">
      <alignment horizontal="center" vertical="center" wrapText="1"/>
    </xf>
    <xf numFmtId="0" fontId="25" fillId="43" borderId="59" xfId="0" applyFont="1" applyFill="1" applyBorder="1" applyAlignment="1">
      <alignment horizontal="center" vertical="center" wrapText="1"/>
    </xf>
    <xf numFmtId="0" fontId="25" fillId="43" borderId="6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</xdr:colOff>
      <xdr:row>34</xdr:row>
      <xdr:rowOff>161925</xdr:rowOff>
    </xdr:from>
    <xdr:to>
      <xdr:col>17</xdr:col>
      <xdr:colOff>1066800</xdr:colOff>
      <xdr:row>38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72550" y="6896100"/>
          <a:ext cx="33909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</xdr:row>
      <xdr:rowOff>0</xdr:rowOff>
    </xdr:from>
    <xdr:to>
      <xdr:col>6</xdr:col>
      <xdr:colOff>85725</xdr:colOff>
      <xdr:row>8</xdr:row>
      <xdr:rowOff>47625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3143250" y="895350"/>
          <a:ext cx="657225" cy="533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Change prices</a:t>
          </a:r>
          <a:r>
            <a:rPr lang="en-US" cap="none" sz="11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Here</a:t>
          </a:r>
        </a:p>
      </xdr:txBody>
    </xdr:sp>
    <xdr:clientData/>
  </xdr:twoCellAnchor>
  <xdr:twoCellAnchor>
    <xdr:from>
      <xdr:col>5</xdr:col>
      <xdr:colOff>304800</xdr:colOff>
      <xdr:row>8</xdr:row>
      <xdr:rowOff>76200</xdr:rowOff>
    </xdr:from>
    <xdr:to>
      <xdr:col>5</xdr:col>
      <xdr:colOff>304800</xdr:colOff>
      <xdr:row>10</xdr:row>
      <xdr:rowOff>161925</xdr:rowOff>
    </xdr:to>
    <xdr:sp>
      <xdr:nvSpPr>
        <xdr:cNvPr id="2" name="Straight Arrow Connector 4"/>
        <xdr:cNvSpPr>
          <a:spLocks/>
        </xdr:cNvSpPr>
      </xdr:nvSpPr>
      <xdr:spPr>
        <a:xfrm>
          <a:off x="3429000" y="1457325"/>
          <a:ext cx="0" cy="390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8</xdr:row>
      <xdr:rowOff>104775</xdr:rowOff>
    </xdr:from>
    <xdr:to>
      <xdr:col>5</xdr:col>
      <xdr:colOff>266700</xdr:colOff>
      <xdr:row>18</xdr:row>
      <xdr:rowOff>38100</xdr:rowOff>
    </xdr:to>
    <xdr:sp>
      <xdr:nvSpPr>
        <xdr:cNvPr id="3" name="Straight Arrow Connector 6"/>
        <xdr:cNvSpPr>
          <a:spLocks/>
        </xdr:cNvSpPr>
      </xdr:nvSpPr>
      <xdr:spPr>
        <a:xfrm flipH="1">
          <a:off x="2266950" y="1485900"/>
          <a:ext cx="1123950" cy="15906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</xdr:col>
      <xdr:colOff>28575</xdr:colOff>
      <xdr:row>2</xdr:row>
      <xdr:rowOff>9525</xdr:rowOff>
    </xdr:to>
    <xdr:pic>
      <xdr:nvPicPr>
        <xdr:cNvPr id="1" name="Picture 1" descr="http://www.biomassenergycentre.org.uk/images/pob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19100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28575</xdr:colOff>
      <xdr:row>3</xdr:row>
      <xdr:rowOff>38100</xdr:rowOff>
    </xdr:to>
    <xdr:pic>
      <xdr:nvPicPr>
        <xdr:cNvPr id="2" name="Picture 2" descr="http://www.biomassenergycentre.org.uk/images/pob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857250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28575</xdr:colOff>
      <xdr:row>4</xdr:row>
      <xdr:rowOff>38100</xdr:rowOff>
    </xdr:to>
    <xdr:pic>
      <xdr:nvPicPr>
        <xdr:cNvPr id="3" name="Picture 3" descr="http://www.biomassenergycentre.org.uk/images/pob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0191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28575</xdr:colOff>
      <xdr:row>4</xdr:row>
      <xdr:rowOff>9525</xdr:rowOff>
    </xdr:to>
    <xdr:pic>
      <xdr:nvPicPr>
        <xdr:cNvPr id="4" name="Picture 4" descr="http://www.biomassenergycentre.org.uk/images/pob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0191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5" name="Picture 5" descr="http://www.biomassenergycentre.org.uk/images/1x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019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28575</xdr:colOff>
      <xdr:row>4</xdr:row>
      <xdr:rowOff>9525</xdr:rowOff>
    </xdr:to>
    <xdr:pic>
      <xdr:nvPicPr>
        <xdr:cNvPr id="6" name="Picture 6" descr="http://www.biomassenergycentre.org.uk/images/pob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10191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28575</xdr:colOff>
      <xdr:row>4</xdr:row>
      <xdr:rowOff>38100</xdr:rowOff>
    </xdr:to>
    <xdr:pic>
      <xdr:nvPicPr>
        <xdr:cNvPr id="7" name="Picture 7" descr="http://www.biomassenergycentre.org.uk/images/pob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0191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28575</xdr:colOff>
      <xdr:row>4</xdr:row>
      <xdr:rowOff>38100</xdr:rowOff>
    </xdr:to>
    <xdr:pic>
      <xdr:nvPicPr>
        <xdr:cNvPr id="8" name="Picture 8" descr="http://www.biomassenergycentre.org.uk/images/pob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019175"/>
          <a:ext cx="28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28575</xdr:colOff>
      <xdr:row>4</xdr:row>
      <xdr:rowOff>9525</xdr:rowOff>
    </xdr:to>
    <xdr:pic>
      <xdr:nvPicPr>
        <xdr:cNvPr id="9" name="Picture 9" descr="http://www.biomassenergycentre.org.uk/images/pob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019175"/>
          <a:ext cx="285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intosh%20HDUsers\mark\Downloads\treco-rhi-calculator04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alc%20shee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 sheet"/>
      <sheetName val="Instructions"/>
      <sheetName val="Fuel Calcs"/>
      <sheetName val="data sheet"/>
      <sheetName val="Carbon"/>
      <sheetName val="Finance Costings"/>
    </sheetNames>
    <sheetDataSet>
      <sheetData sheetId="0">
        <row r="14">
          <cell r="E14">
            <v>0.03</v>
          </cell>
          <cell r="K14">
            <v>0.05</v>
          </cell>
        </row>
        <row r="17">
          <cell r="K17">
            <v>0.05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lc 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biomassenergycentre.org.uk/portal/page?_pageid=75,163182&amp;_dad=portal&amp;_schema=PORTAL" TargetMode="Externa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5"/>
  <sheetViews>
    <sheetView showGridLines="0" tabSelected="1" zoomScale="75" zoomScaleNormal="75" workbookViewId="0" topLeftCell="A1">
      <selection activeCell="B48" sqref="B48"/>
    </sheetView>
  </sheetViews>
  <sheetFormatPr defaultColWidth="8.8515625" defaultRowHeight="12.75"/>
  <cols>
    <col min="1" max="1" width="8.8515625" style="0" customWidth="1"/>
    <col min="2" max="2" width="9.421875" style="175" customWidth="1"/>
    <col min="3" max="3" width="8.8515625" style="0" customWidth="1"/>
    <col min="4" max="4" width="12.421875" style="175" bestFit="1" customWidth="1"/>
    <col min="5" max="5" width="8.8515625" style="0" customWidth="1"/>
    <col min="6" max="6" width="9.28125" style="175" bestFit="1" customWidth="1"/>
    <col min="7" max="7" width="10.140625" style="0" customWidth="1"/>
    <col min="8" max="8" width="11.421875" style="175" customWidth="1"/>
    <col min="9" max="9" width="8.8515625" style="0" customWidth="1"/>
    <col min="10" max="10" width="4.28125" style="0" customWidth="1"/>
    <col min="11" max="12" width="9.28125" style="0" bestFit="1" customWidth="1"/>
    <col min="13" max="13" width="11.421875" style="0" bestFit="1" customWidth="1"/>
    <col min="14" max="15" width="11.140625" style="0" bestFit="1" customWidth="1"/>
    <col min="16" max="16" width="11.421875" style="0" bestFit="1" customWidth="1"/>
    <col min="17" max="17" width="13.28125" style="0" bestFit="1" customWidth="1"/>
    <col min="18" max="18" width="17.7109375" style="0" bestFit="1" customWidth="1"/>
    <col min="19" max="19" width="8.8515625" style="0" customWidth="1"/>
    <col min="20" max="20" width="9.28125" style="0" hidden="1" customWidth="1"/>
    <col min="21" max="21" width="25.00390625" style="0" hidden="1" customWidth="1"/>
    <col min="22" max="22" width="15.421875" style="0" hidden="1" customWidth="1"/>
    <col min="23" max="23" width="9.28125" style="0" hidden="1" customWidth="1"/>
    <col min="24" max="24" width="13.28125" style="0" hidden="1" customWidth="1"/>
    <col min="25" max="25" width="10.421875" style="0" hidden="1" customWidth="1"/>
    <col min="26" max="28" width="0" style="0" hidden="1" customWidth="1"/>
    <col min="29" max="29" width="10.140625" style="0" hidden="1" customWidth="1"/>
    <col min="30" max="30" width="0" style="0" hidden="1" customWidth="1"/>
    <col min="31" max="31" width="10.28125" style="0" hidden="1" customWidth="1"/>
    <col min="32" max="34" width="0" style="0" hidden="1" customWidth="1"/>
  </cols>
  <sheetData>
    <row r="1" spans="1:31" ht="18">
      <c r="A1" s="152" t="s">
        <v>44</v>
      </c>
      <c r="B1" s="171"/>
      <c r="C1" s="33"/>
      <c r="D1" s="171"/>
      <c r="E1" s="33"/>
      <c r="F1" s="171"/>
      <c r="G1" s="153"/>
      <c r="H1" s="171"/>
      <c r="I1" s="153"/>
      <c r="J1" s="153"/>
      <c r="K1" s="28"/>
      <c r="L1" s="25"/>
      <c r="M1" s="25"/>
      <c r="N1" s="24"/>
      <c r="O1" s="26"/>
      <c r="P1" s="24"/>
      <c r="Q1" s="27"/>
      <c r="R1" s="27"/>
      <c r="S1" s="28"/>
      <c r="T1" s="58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24" customHeight="1">
      <c r="A2" s="154"/>
      <c r="B2" s="171"/>
      <c r="C2" s="33"/>
      <c r="D2" s="171"/>
      <c r="E2" s="33"/>
      <c r="F2" s="171"/>
      <c r="G2" s="33"/>
      <c r="H2" s="171"/>
      <c r="I2" s="33"/>
      <c r="J2" s="153"/>
      <c r="K2" s="28"/>
      <c r="L2" s="247" t="s">
        <v>45</v>
      </c>
      <c r="M2" s="255" t="s">
        <v>46</v>
      </c>
      <c r="N2" s="247" t="s">
        <v>47</v>
      </c>
      <c r="O2" s="247" t="s">
        <v>48</v>
      </c>
      <c r="P2" s="247" t="s">
        <v>49</v>
      </c>
      <c r="Q2" s="247" t="s">
        <v>153</v>
      </c>
      <c r="R2" s="247" t="s">
        <v>50</v>
      </c>
      <c r="S2" s="28"/>
      <c r="T2" s="58"/>
      <c r="U2" s="59" t="s">
        <v>141</v>
      </c>
      <c r="V2" s="59"/>
      <c r="W2" s="59"/>
      <c r="X2" s="1"/>
      <c r="Y2" s="1"/>
      <c r="Z2" s="1"/>
      <c r="AA2" s="1"/>
      <c r="AB2" s="1"/>
      <c r="AC2" s="1"/>
      <c r="AD2" s="1"/>
      <c r="AE2" s="1"/>
    </row>
    <row r="3" spans="1:31" ht="13.5">
      <c r="A3" s="30" t="s">
        <v>51</v>
      </c>
      <c r="B3" s="191"/>
      <c r="C3" s="31"/>
      <c r="D3" s="172"/>
      <c r="E3" s="31"/>
      <c r="F3" s="194" t="s">
        <v>52</v>
      </c>
      <c r="G3" s="31"/>
      <c r="H3" s="201"/>
      <c r="I3" s="32"/>
      <c r="J3" s="29"/>
      <c r="K3" s="24"/>
      <c r="L3" s="248"/>
      <c r="M3" s="256"/>
      <c r="N3" s="248"/>
      <c r="O3" s="248"/>
      <c r="P3" s="248"/>
      <c r="Q3" s="248"/>
      <c r="R3" s="248"/>
      <c r="S3" s="33"/>
      <c r="T3" s="58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3.5">
      <c r="A4" s="161"/>
      <c r="B4" s="178"/>
      <c r="C4" s="23"/>
      <c r="D4" s="173"/>
      <c r="E4" s="23"/>
      <c r="F4" s="195"/>
      <c r="G4" s="23"/>
      <c r="H4" s="202"/>
      <c r="I4" s="35"/>
      <c r="J4" s="29"/>
      <c r="K4" s="24"/>
      <c r="L4" s="169">
        <v>0</v>
      </c>
      <c r="M4" s="167" t="s">
        <v>53</v>
      </c>
      <c r="N4" s="38" t="s">
        <v>53</v>
      </c>
      <c r="O4" s="230" t="s">
        <v>53</v>
      </c>
      <c r="P4" s="41" t="s">
        <v>53</v>
      </c>
      <c r="Q4" s="38" t="s">
        <v>53</v>
      </c>
      <c r="R4" s="231"/>
      <c r="S4" s="33"/>
      <c r="T4" s="58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3.5">
      <c r="A5" s="34" t="s">
        <v>144</v>
      </c>
      <c r="B5" s="178"/>
      <c r="C5" s="23"/>
      <c r="D5" s="237"/>
      <c r="E5" s="23"/>
      <c r="F5" s="195"/>
      <c r="G5" s="23"/>
      <c r="H5" s="202"/>
      <c r="I5" s="35"/>
      <c r="J5" s="29"/>
      <c r="K5" s="24"/>
      <c r="L5" s="169">
        <v>1</v>
      </c>
      <c r="M5" s="168">
        <f>(+$D$5*$B$46/100)+(+$D$7*$B$48/100)</f>
        <v>0</v>
      </c>
      <c r="N5" s="165">
        <f>($D$5*$D$27)/100+($D$7*$D$27)/100</f>
        <v>0</v>
      </c>
      <c r="O5" s="165">
        <f>(+$D$5*$D$29/100)+($D$7*$D$29/100)</f>
        <v>0</v>
      </c>
      <c r="P5" s="40">
        <f>+N5-O5</f>
        <v>0</v>
      </c>
      <c r="Q5" s="165">
        <f>+P5+M5</f>
        <v>0</v>
      </c>
      <c r="R5" s="239"/>
      <c r="S5" s="33"/>
      <c r="T5" s="58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3.5">
      <c r="A6" s="161"/>
      <c r="B6" s="178"/>
      <c r="C6" s="23"/>
      <c r="D6" s="173"/>
      <c r="E6" s="23"/>
      <c r="F6" s="195"/>
      <c r="G6" s="23"/>
      <c r="H6" s="202"/>
      <c r="I6" s="35"/>
      <c r="J6" s="29"/>
      <c r="K6" s="24"/>
      <c r="L6" s="169">
        <v>2</v>
      </c>
      <c r="M6" s="168">
        <f>((+$D$5*$B$46/100)+(+$D$7*$B$48/100))*AA31</f>
        <v>0</v>
      </c>
      <c r="N6" s="165">
        <f>(($D$5*$D$27)/100+($D$7*$D$27)/100)*AE31</f>
        <v>0</v>
      </c>
      <c r="O6" s="165">
        <f>((+$D$5*$D$29/100)+($D$7*$D$29/100))*AC31</f>
        <v>0</v>
      </c>
      <c r="P6" s="40">
        <f aca="true" t="shared" si="0" ref="P6:P24">+N6-O6</f>
        <v>0</v>
      </c>
      <c r="Q6" s="165">
        <f aca="true" t="shared" si="1" ref="Q6:Q24">+P6+M6</f>
        <v>0</v>
      </c>
      <c r="R6" s="239"/>
      <c r="S6" s="33"/>
      <c r="T6" s="58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3.5">
      <c r="A7" s="34" t="s">
        <v>145</v>
      </c>
      <c r="B7" s="178"/>
      <c r="C7" s="23"/>
      <c r="D7" s="174"/>
      <c r="E7" s="23"/>
      <c r="F7" s="195"/>
      <c r="G7" s="23"/>
      <c r="H7" s="202"/>
      <c r="I7" s="35"/>
      <c r="J7" s="29"/>
      <c r="K7" s="24"/>
      <c r="L7" s="169">
        <v>3</v>
      </c>
      <c r="M7" s="168">
        <f aca="true" t="shared" si="2" ref="M7:M24">((+$D$5*$B$46/100)+(+$D$7*$B$48/100))*AA32</f>
        <v>0</v>
      </c>
      <c r="N7" s="165">
        <f aca="true" t="shared" si="3" ref="N7:N24">(($D$5*$D$27)/100+($D$7*$D$27)/100)*AE32</f>
        <v>0</v>
      </c>
      <c r="O7" s="165">
        <f aca="true" t="shared" si="4" ref="O7:O24">((+$D$5*$D$29/100)+($D$7*$D$29/100))*AC32</f>
        <v>0</v>
      </c>
      <c r="P7" s="40">
        <f t="shared" si="0"/>
        <v>0</v>
      </c>
      <c r="Q7" s="165">
        <f t="shared" si="1"/>
        <v>0</v>
      </c>
      <c r="R7" s="239"/>
      <c r="S7" s="33"/>
      <c r="T7" s="58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3.5">
      <c r="A8" s="200"/>
      <c r="B8" s="203"/>
      <c r="C8" s="200"/>
      <c r="D8" s="203"/>
      <c r="E8" s="23"/>
      <c r="F8" s="195"/>
      <c r="G8" s="23"/>
      <c r="H8" s="202"/>
      <c r="I8" s="35"/>
      <c r="J8" s="29"/>
      <c r="K8" s="24"/>
      <c r="L8" s="169">
        <v>4</v>
      </c>
      <c r="M8" s="168">
        <f t="shared" si="2"/>
        <v>0</v>
      </c>
      <c r="N8" s="165">
        <f t="shared" si="3"/>
        <v>0</v>
      </c>
      <c r="O8" s="165">
        <f t="shared" si="4"/>
        <v>0</v>
      </c>
      <c r="P8" s="40">
        <f t="shared" si="0"/>
        <v>0</v>
      </c>
      <c r="Q8" s="165">
        <f t="shared" si="1"/>
        <v>0</v>
      </c>
      <c r="R8" s="239"/>
      <c r="S8" s="33"/>
      <c r="T8" s="58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5" thickBot="1">
      <c r="A9" s="200" t="s">
        <v>146</v>
      </c>
      <c r="B9" s="203"/>
      <c r="C9" s="200"/>
      <c r="D9" s="204"/>
      <c r="E9" s="23"/>
      <c r="F9" s="195"/>
      <c r="G9" s="23"/>
      <c r="H9" s="202"/>
      <c r="I9" s="35"/>
      <c r="J9" s="29"/>
      <c r="K9" s="24"/>
      <c r="L9" s="169">
        <v>5</v>
      </c>
      <c r="M9" s="168">
        <f t="shared" si="2"/>
        <v>0</v>
      </c>
      <c r="N9" s="165">
        <f t="shared" si="3"/>
        <v>0</v>
      </c>
      <c r="O9" s="165">
        <f t="shared" si="4"/>
        <v>0</v>
      </c>
      <c r="P9" s="40">
        <f t="shared" si="0"/>
        <v>0</v>
      </c>
      <c r="Q9" s="165">
        <f t="shared" si="1"/>
        <v>0</v>
      </c>
      <c r="R9" s="239"/>
      <c r="S9" s="33"/>
      <c r="T9" s="58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3.5">
      <c r="A10" s="34"/>
      <c r="B10" s="178"/>
      <c r="C10" s="23"/>
      <c r="D10" s="176"/>
      <c r="E10" s="23"/>
      <c r="F10" s="192"/>
      <c r="G10" s="26"/>
      <c r="H10" s="192"/>
      <c r="I10" s="35"/>
      <c r="J10" s="36"/>
      <c r="K10" s="37">
        <v>1</v>
      </c>
      <c r="L10" s="169">
        <v>6</v>
      </c>
      <c r="M10" s="168">
        <f t="shared" si="2"/>
        <v>0</v>
      </c>
      <c r="N10" s="165">
        <f t="shared" si="3"/>
        <v>0</v>
      </c>
      <c r="O10" s="165">
        <f t="shared" si="4"/>
        <v>0</v>
      </c>
      <c r="P10" s="40">
        <f t="shared" si="0"/>
        <v>0</v>
      </c>
      <c r="Q10" s="165">
        <f t="shared" si="1"/>
        <v>0</v>
      </c>
      <c r="R10" s="239"/>
      <c r="S10" s="33"/>
      <c r="T10" s="58"/>
      <c r="U10" s="60"/>
      <c r="V10" s="61"/>
      <c r="W10" s="61"/>
      <c r="X10" s="61" t="s">
        <v>81</v>
      </c>
      <c r="Y10" s="62"/>
      <c r="Z10" s="1"/>
      <c r="AA10" s="60" t="s">
        <v>82</v>
      </c>
      <c r="AB10" s="61"/>
      <c r="AC10" s="61"/>
      <c r="AD10" s="61"/>
      <c r="AE10" s="62"/>
    </row>
    <row r="11" spans="1:31" ht="18.75" customHeight="1">
      <c r="A11" s="39" t="s">
        <v>54</v>
      </c>
      <c r="B11" s="178"/>
      <c r="C11" s="23"/>
      <c r="D11" s="172" t="s">
        <v>55</v>
      </c>
      <c r="E11" s="226" t="s">
        <v>151</v>
      </c>
      <c r="G11" s="26"/>
      <c r="H11" s="198"/>
      <c r="I11" s="35"/>
      <c r="J11" s="36"/>
      <c r="K11" s="37">
        <v>1</v>
      </c>
      <c r="L11" s="169">
        <v>7</v>
      </c>
      <c r="M11" s="168">
        <f t="shared" si="2"/>
        <v>0</v>
      </c>
      <c r="N11" s="165">
        <f t="shared" si="3"/>
        <v>0</v>
      </c>
      <c r="O11" s="165">
        <f t="shared" si="4"/>
        <v>0</v>
      </c>
      <c r="P11" s="40">
        <f t="shared" si="0"/>
        <v>0</v>
      </c>
      <c r="Q11" s="165">
        <f t="shared" si="1"/>
        <v>0</v>
      </c>
      <c r="R11" s="239"/>
      <c r="S11" s="33"/>
      <c r="T11" s="58"/>
      <c r="U11" s="63"/>
      <c r="V11" s="57"/>
      <c r="W11" s="57"/>
      <c r="X11" s="57" t="s">
        <v>83</v>
      </c>
      <c r="Y11" s="64"/>
      <c r="Z11" s="1"/>
      <c r="AA11" s="63"/>
      <c r="AB11" s="57"/>
      <c r="AC11" s="57" t="s">
        <v>84</v>
      </c>
      <c r="AE11" s="64"/>
    </row>
    <row r="12" spans="1:31" ht="21" customHeight="1">
      <c r="A12" s="34"/>
      <c r="B12" s="178"/>
      <c r="C12" s="23"/>
      <c r="D12" s="176"/>
      <c r="E12" s="23"/>
      <c r="F12" s="178"/>
      <c r="G12" s="23"/>
      <c r="H12" s="178"/>
      <c r="I12" s="35"/>
      <c r="J12" s="36"/>
      <c r="K12" s="37">
        <v>1</v>
      </c>
      <c r="L12" s="169">
        <v>8</v>
      </c>
      <c r="M12" s="168">
        <f t="shared" si="2"/>
        <v>0</v>
      </c>
      <c r="N12" s="165">
        <f t="shared" si="3"/>
        <v>0</v>
      </c>
      <c r="O12" s="165">
        <f t="shared" si="4"/>
        <v>0</v>
      </c>
      <c r="P12" s="40">
        <f t="shared" si="0"/>
        <v>0</v>
      </c>
      <c r="Q12" s="165">
        <f t="shared" si="1"/>
        <v>0</v>
      </c>
      <c r="R12" s="239"/>
      <c r="S12" s="33"/>
      <c r="T12" s="58"/>
      <c r="U12" s="65"/>
      <c r="V12" s="66" t="s">
        <v>94</v>
      </c>
      <c r="W12" s="66" t="s">
        <v>84</v>
      </c>
      <c r="X12" s="66" t="s">
        <v>86</v>
      </c>
      <c r="Y12" s="64"/>
      <c r="Z12" s="1"/>
      <c r="AA12" s="63"/>
      <c r="AB12" s="57" t="s">
        <v>87</v>
      </c>
      <c r="AC12" s="146">
        <f>'fuel calc'!I21</f>
        <v>2.6954177897574123</v>
      </c>
      <c r="AE12" s="64"/>
    </row>
    <row r="13" spans="1:31" ht="19.5">
      <c r="A13" s="34" t="s">
        <v>56</v>
      </c>
      <c r="B13" s="178"/>
      <c r="C13" s="23"/>
      <c r="D13" s="177"/>
      <c r="E13" s="23"/>
      <c r="F13" s="227" t="s">
        <v>57</v>
      </c>
      <c r="G13" s="23"/>
      <c r="H13" s="199"/>
      <c r="I13" s="35"/>
      <c r="J13" s="36"/>
      <c r="K13" s="37">
        <v>1</v>
      </c>
      <c r="L13" s="169">
        <v>9</v>
      </c>
      <c r="M13" s="168">
        <f t="shared" si="2"/>
        <v>0</v>
      </c>
      <c r="N13" s="165">
        <f t="shared" si="3"/>
        <v>0</v>
      </c>
      <c r="O13" s="165">
        <f t="shared" si="4"/>
        <v>0</v>
      </c>
      <c r="P13" s="40">
        <f t="shared" si="0"/>
        <v>0</v>
      </c>
      <c r="Q13" s="165">
        <f t="shared" si="1"/>
        <v>0</v>
      </c>
      <c r="R13" s="239"/>
      <c r="S13" s="33"/>
      <c r="T13" s="58"/>
      <c r="U13" s="65"/>
      <c r="V13" s="66" t="s">
        <v>73</v>
      </c>
      <c r="W13" s="145">
        <f>'fuel calc'!I16</f>
        <v>4.3</v>
      </c>
      <c r="X13" s="160">
        <f>carbon!L12/1000</f>
        <v>0.2592</v>
      </c>
      <c r="Y13" s="147" t="e">
        <f>D3/B35*10.31/81.4</f>
        <v>#DIV/0!</v>
      </c>
      <c r="Z13" s="1"/>
      <c r="AA13" s="63"/>
      <c r="AB13" s="57" t="s">
        <v>89</v>
      </c>
      <c r="AC13" s="146">
        <f>'fuel calc'!I20</f>
        <v>4.042553191489362</v>
      </c>
      <c r="AE13" s="64"/>
    </row>
    <row r="14" spans="1:31" ht="19.5">
      <c r="A14" s="42"/>
      <c r="B14" s="178"/>
      <c r="C14" s="23"/>
      <c r="D14" s="178"/>
      <c r="E14" s="29"/>
      <c r="F14" s="178"/>
      <c r="G14" s="29"/>
      <c r="H14" s="178"/>
      <c r="I14" s="35"/>
      <c r="J14" s="36"/>
      <c r="K14" s="37">
        <v>1</v>
      </c>
      <c r="L14" s="169">
        <v>10</v>
      </c>
      <c r="M14" s="168">
        <f t="shared" si="2"/>
        <v>0</v>
      </c>
      <c r="N14" s="165">
        <f t="shared" si="3"/>
        <v>0</v>
      </c>
      <c r="O14" s="165">
        <f t="shared" si="4"/>
        <v>0</v>
      </c>
      <c r="P14" s="40">
        <f t="shared" si="0"/>
        <v>0</v>
      </c>
      <c r="Q14" s="165">
        <f t="shared" si="1"/>
        <v>0</v>
      </c>
      <c r="R14" s="239"/>
      <c r="S14" s="33"/>
      <c r="T14" s="58"/>
      <c r="U14" s="65"/>
      <c r="V14" s="66" t="s">
        <v>55</v>
      </c>
      <c r="W14" s="145">
        <f>'fuel calc'!I15</f>
        <v>6.013579049466537</v>
      </c>
      <c r="X14" s="160">
        <f>carbon!K11/1000</f>
        <v>0.35</v>
      </c>
      <c r="Y14" s="147" t="e">
        <f>D3/B36*10.31/1.4</f>
        <v>#DIV/0!</v>
      </c>
      <c r="Z14" s="1"/>
      <c r="AA14" s="63"/>
      <c r="AB14" s="57" t="s">
        <v>40</v>
      </c>
      <c r="AC14" s="146">
        <f>'fuel calc'!I22</f>
        <v>2.0512820512820515</v>
      </c>
      <c r="AE14" s="64"/>
    </row>
    <row r="15" spans="1:31" ht="15" customHeight="1">
      <c r="A15" s="39" t="s">
        <v>58</v>
      </c>
      <c r="B15" s="178"/>
      <c r="C15" s="23"/>
      <c r="D15" s="172"/>
      <c r="E15" s="29"/>
      <c r="F15" s="226" t="s">
        <v>59</v>
      </c>
      <c r="G15" s="23"/>
      <c r="H15" s="199"/>
      <c r="I15" s="35"/>
      <c r="J15" s="36"/>
      <c r="K15" s="37">
        <v>1</v>
      </c>
      <c r="L15" s="169">
        <v>11</v>
      </c>
      <c r="M15" s="168">
        <f t="shared" si="2"/>
        <v>0</v>
      </c>
      <c r="N15" s="165">
        <f t="shared" si="3"/>
        <v>0</v>
      </c>
      <c r="O15" s="165">
        <f t="shared" si="4"/>
        <v>0</v>
      </c>
      <c r="P15" s="40">
        <f t="shared" si="0"/>
        <v>0</v>
      </c>
      <c r="Q15" s="165">
        <f t="shared" si="1"/>
        <v>0</v>
      </c>
      <c r="R15" s="239"/>
      <c r="S15" s="33"/>
      <c r="T15" s="58"/>
      <c r="U15" s="65"/>
      <c r="V15" s="66" t="s">
        <v>7</v>
      </c>
      <c r="W15" s="145">
        <f>'fuel calc'!I14</f>
        <v>7.8796561604584525</v>
      </c>
      <c r="X15" s="160">
        <f>carbon!K13/1000</f>
        <v>0.323</v>
      </c>
      <c r="Y15" s="147" t="e">
        <f>D3/B37*10.31/1.4</f>
        <v>#DIV/0!</v>
      </c>
      <c r="Z15" s="1"/>
      <c r="AA15" s="103"/>
      <c r="AB15" s="104"/>
      <c r="AC15" s="104"/>
      <c r="AD15" s="105"/>
      <c r="AE15" s="106"/>
    </row>
    <row r="16" spans="1:31" ht="16.5" customHeight="1">
      <c r="A16" s="43"/>
      <c r="B16" s="178"/>
      <c r="C16" s="23"/>
      <c r="D16" s="178"/>
      <c r="E16" s="29"/>
      <c r="F16" s="178"/>
      <c r="G16" s="23"/>
      <c r="H16" s="178"/>
      <c r="I16" s="35"/>
      <c r="J16" s="36"/>
      <c r="K16" s="37">
        <v>1</v>
      </c>
      <c r="L16" s="169">
        <v>12</v>
      </c>
      <c r="M16" s="168">
        <f t="shared" si="2"/>
        <v>0</v>
      </c>
      <c r="N16" s="165">
        <f t="shared" si="3"/>
        <v>0</v>
      </c>
      <c r="O16" s="165">
        <f t="shared" si="4"/>
        <v>0</v>
      </c>
      <c r="P16" s="40">
        <f t="shared" si="0"/>
        <v>0</v>
      </c>
      <c r="Q16" s="165">
        <f t="shared" si="1"/>
        <v>0</v>
      </c>
      <c r="R16" s="239"/>
      <c r="S16" s="33"/>
      <c r="T16" s="58"/>
      <c r="U16" s="65"/>
      <c r="V16" s="66" t="s">
        <v>77</v>
      </c>
      <c r="W16" s="145">
        <f>'fuel calc'!I17</f>
        <v>15.2</v>
      </c>
      <c r="X16" s="160">
        <f>carbon!K14/1000</f>
        <v>0.53</v>
      </c>
      <c r="Y16" s="147" t="e">
        <f>D3/B38*10.31/1.4</f>
        <v>#DIV/0!</v>
      </c>
      <c r="Z16" s="1"/>
      <c r="AA16" s="103"/>
      <c r="AB16" s="104"/>
      <c r="AC16" s="104"/>
      <c r="AD16" s="105"/>
      <c r="AE16" s="106"/>
    </row>
    <row r="17" spans="1:31" ht="12.75" customHeight="1">
      <c r="A17" s="43" t="s">
        <v>60</v>
      </c>
      <c r="B17" s="178"/>
      <c r="C17" s="29"/>
      <c r="D17" s="179"/>
      <c r="E17" s="23"/>
      <c r="F17" s="249" t="s">
        <v>147</v>
      </c>
      <c r="G17" s="250"/>
      <c r="H17" s="250"/>
      <c r="I17" s="251"/>
      <c r="J17" s="36"/>
      <c r="K17" s="37">
        <v>1</v>
      </c>
      <c r="L17" s="169">
        <v>13</v>
      </c>
      <c r="M17" s="168">
        <f t="shared" si="2"/>
        <v>0</v>
      </c>
      <c r="N17" s="165">
        <f t="shared" si="3"/>
        <v>0</v>
      </c>
      <c r="O17" s="165">
        <f t="shared" si="4"/>
        <v>0</v>
      </c>
      <c r="P17" s="40">
        <f t="shared" si="0"/>
        <v>0</v>
      </c>
      <c r="Q17" s="165">
        <f t="shared" si="1"/>
        <v>0</v>
      </c>
      <c r="R17" s="239"/>
      <c r="S17" s="33"/>
      <c r="T17" s="58"/>
      <c r="U17" s="65"/>
      <c r="V17" s="66"/>
      <c r="W17" s="66"/>
      <c r="X17" s="66"/>
      <c r="Y17" s="64"/>
      <c r="Z17" s="1"/>
      <c r="AA17" s="103"/>
      <c r="AB17" s="104"/>
      <c r="AC17" s="104"/>
      <c r="AD17" s="105"/>
      <c r="AE17" s="106"/>
    </row>
    <row r="18" spans="1:31" ht="21" thickBot="1">
      <c r="A18" s="43"/>
      <c r="B18" s="178"/>
      <c r="C18" s="29"/>
      <c r="D18" s="180"/>
      <c r="E18" s="33"/>
      <c r="F18" s="252"/>
      <c r="G18" s="253"/>
      <c r="H18" s="253"/>
      <c r="I18" s="254"/>
      <c r="J18" s="36"/>
      <c r="K18" s="37">
        <v>1</v>
      </c>
      <c r="L18" s="169">
        <v>14</v>
      </c>
      <c r="M18" s="168">
        <f t="shared" si="2"/>
        <v>0</v>
      </c>
      <c r="N18" s="165">
        <f t="shared" si="3"/>
        <v>0</v>
      </c>
      <c r="O18" s="165">
        <f t="shared" si="4"/>
        <v>0</v>
      </c>
      <c r="P18" s="40">
        <f t="shared" si="0"/>
        <v>0</v>
      </c>
      <c r="Q18" s="165">
        <f t="shared" si="1"/>
        <v>0</v>
      </c>
      <c r="R18" s="239"/>
      <c r="S18" s="33"/>
      <c r="T18" s="58"/>
      <c r="U18" s="67" t="s">
        <v>91</v>
      </c>
      <c r="V18" s="68"/>
      <c r="W18" s="68"/>
      <c r="X18" s="68"/>
      <c r="Y18" s="69"/>
      <c r="Z18" s="1"/>
      <c r="AA18" s="70"/>
      <c r="AB18" s="71"/>
      <c r="AC18" s="71"/>
      <c r="AD18" s="71"/>
      <c r="AE18" s="69"/>
    </row>
    <row r="19" spans="1:31" ht="19.5">
      <c r="A19" s="43" t="s">
        <v>61</v>
      </c>
      <c r="B19" s="178"/>
      <c r="C19" s="29"/>
      <c r="D19" s="172"/>
      <c r="E19" s="29"/>
      <c r="F19" s="252"/>
      <c r="G19" s="253"/>
      <c r="H19" s="253"/>
      <c r="I19" s="254"/>
      <c r="J19" s="36"/>
      <c r="K19" s="37">
        <v>1</v>
      </c>
      <c r="L19" s="169">
        <v>15</v>
      </c>
      <c r="M19" s="168">
        <f t="shared" si="2"/>
        <v>0</v>
      </c>
      <c r="N19" s="165">
        <f t="shared" si="3"/>
        <v>0</v>
      </c>
      <c r="O19" s="165">
        <f t="shared" si="4"/>
        <v>0</v>
      </c>
      <c r="P19" s="40">
        <f t="shared" si="0"/>
        <v>0</v>
      </c>
      <c r="Q19" s="165">
        <f t="shared" si="1"/>
        <v>0</v>
      </c>
      <c r="R19" s="239"/>
      <c r="S19" s="33"/>
      <c r="T19" s="58"/>
      <c r="U19" s="72"/>
      <c r="V19" s="72"/>
      <c r="W19" s="72"/>
      <c r="X19" s="72"/>
      <c r="Y19" s="1"/>
      <c r="Z19" s="1"/>
      <c r="AA19" s="1"/>
      <c r="AB19" s="1"/>
      <c r="AC19" s="1"/>
      <c r="AD19" s="1"/>
      <c r="AE19" s="1"/>
    </row>
    <row r="20" spans="1:31" ht="19.5">
      <c r="A20" s="43"/>
      <c r="B20" s="178"/>
      <c r="C20" s="29"/>
      <c r="D20" s="180"/>
      <c r="E20" s="33"/>
      <c r="F20" s="252"/>
      <c r="G20" s="253"/>
      <c r="H20" s="253"/>
      <c r="I20" s="254"/>
      <c r="J20" s="36"/>
      <c r="K20" s="37">
        <v>1</v>
      </c>
      <c r="L20" s="169">
        <v>16</v>
      </c>
      <c r="M20" s="168">
        <f t="shared" si="2"/>
        <v>0</v>
      </c>
      <c r="N20" s="165">
        <f t="shared" si="3"/>
        <v>0</v>
      </c>
      <c r="O20" s="165">
        <f t="shared" si="4"/>
        <v>0</v>
      </c>
      <c r="P20" s="40">
        <f t="shared" si="0"/>
        <v>0</v>
      </c>
      <c r="Q20" s="165">
        <f t="shared" si="1"/>
        <v>0</v>
      </c>
      <c r="R20" s="239"/>
      <c r="S20" s="33"/>
      <c r="T20" s="58"/>
      <c r="U20" s="72"/>
      <c r="V20" s="72"/>
      <c r="W20" s="72"/>
      <c r="X20" s="72"/>
      <c r="Y20" s="1"/>
      <c r="Z20" s="1"/>
      <c r="AA20" s="1"/>
      <c r="AB20" s="1"/>
      <c r="AC20" s="1"/>
      <c r="AD20" s="1"/>
      <c r="AE20" s="1"/>
    </row>
    <row r="21" spans="1:31" ht="13.5">
      <c r="A21" s="43" t="s">
        <v>62</v>
      </c>
      <c r="B21" s="178"/>
      <c r="C21" s="29"/>
      <c r="D21" s="181"/>
      <c r="E21" s="29"/>
      <c r="F21" s="252"/>
      <c r="G21" s="253"/>
      <c r="H21" s="253"/>
      <c r="I21" s="254"/>
      <c r="J21" s="36"/>
      <c r="K21" s="37">
        <v>1</v>
      </c>
      <c r="L21" s="169">
        <v>17</v>
      </c>
      <c r="M21" s="168">
        <f t="shared" si="2"/>
        <v>0</v>
      </c>
      <c r="N21" s="165">
        <f t="shared" si="3"/>
        <v>0</v>
      </c>
      <c r="O21" s="165">
        <f t="shared" si="4"/>
        <v>0</v>
      </c>
      <c r="P21" s="40">
        <f t="shared" si="0"/>
        <v>0</v>
      </c>
      <c r="Q21" s="165">
        <f t="shared" si="1"/>
        <v>0</v>
      </c>
      <c r="R21" s="239"/>
      <c r="S21" s="33"/>
      <c r="T21" s="58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3.5">
      <c r="A22" s="43"/>
      <c r="B22" s="178"/>
      <c r="C22" s="29"/>
      <c r="D22" s="182"/>
      <c r="E22" s="33"/>
      <c r="F22" s="252"/>
      <c r="G22" s="253"/>
      <c r="H22" s="253"/>
      <c r="I22" s="254"/>
      <c r="J22" s="36"/>
      <c r="K22" s="37">
        <v>1</v>
      </c>
      <c r="L22" s="169">
        <v>18</v>
      </c>
      <c r="M22" s="168">
        <f t="shared" si="2"/>
        <v>0</v>
      </c>
      <c r="N22" s="165">
        <f t="shared" si="3"/>
        <v>0</v>
      </c>
      <c r="O22" s="165">
        <f t="shared" si="4"/>
        <v>0</v>
      </c>
      <c r="P22" s="40">
        <f t="shared" si="0"/>
        <v>0</v>
      </c>
      <c r="Q22" s="165">
        <f t="shared" si="1"/>
        <v>0</v>
      </c>
      <c r="R22" s="239"/>
      <c r="S22" s="33"/>
      <c r="T22" s="58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3.5">
      <c r="A23" s="43" t="s">
        <v>63</v>
      </c>
      <c r="B23" s="178"/>
      <c r="C23" s="29"/>
      <c r="D23" s="183"/>
      <c r="E23" s="29"/>
      <c r="F23" s="252"/>
      <c r="G23" s="253"/>
      <c r="H23" s="253"/>
      <c r="I23" s="254"/>
      <c r="J23" s="36"/>
      <c r="K23" s="37">
        <v>1</v>
      </c>
      <c r="L23" s="169">
        <v>19</v>
      </c>
      <c r="M23" s="168">
        <f t="shared" si="2"/>
        <v>0</v>
      </c>
      <c r="N23" s="165">
        <f t="shared" si="3"/>
        <v>0</v>
      </c>
      <c r="O23" s="165">
        <f t="shared" si="4"/>
        <v>0</v>
      </c>
      <c r="P23" s="40">
        <f t="shared" si="0"/>
        <v>0</v>
      </c>
      <c r="Q23" s="165">
        <f t="shared" si="1"/>
        <v>0</v>
      </c>
      <c r="R23" s="239"/>
      <c r="S23" s="29"/>
      <c r="T23" s="58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3.5">
      <c r="A24" s="34"/>
      <c r="B24" s="182"/>
      <c r="C24" s="29"/>
      <c r="D24" s="184"/>
      <c r="E24" s="33"/>
      <c r="F24" s="252"/>
      <c r="G24" s="253"/>
      <c r="H24" s="253"/>
      <c r="I24" s="254"/>
      <c r="J24" s="36"/>
      <c r="K24" s="37">
        <v>1</v>
      </c>
      <c r="L24" s="170">
        <v>20</v>
      </c>
      <c r="M24" s="168">
        <f t="shared" si="2"/>
        <v>0</v>
      </c>
      <c r="N24" s="165">
        <f t="shared" si="3"/>
        <v>0</v>
      </c>
      <c r="O24" s="166">
        <f t="shared" si="4"/>
        <v>0</v>
      </c>
      <c r="P24" s="40">
        <f t="shared" si="0"/>
        <v>0</v>
      </c>
      <c r="Q24" s="165">
        <f t="shared" si="1"/>
        <v>0</v>
      </c>
      <c r="R24" s="239"/>
      <c r="S24" s="33"/>
      <c r="T24" s="58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3.5">
      <c r="A25" s="43" t="s">
        <v>64</v>
      </c>
      <c r="B25" s="178"/>
      <c r="C25" s="23"/>
      <c r="D25" s="183"/>
      <c r="E25" s="33"/>
      <c r="F25" s="252"/>
      <c r="G25" s="253"/>
      <c r="H25" s="253"/>
      <c r="I25" s="254"/>
      <c r="J25" s="36"/>
      <c r="K25" s="37">
        <v>1</v>
      </c>
      <c r="L25" s="47"/>
      <c r="M25" s="229">
        <f>SUM(M5:M24)</f>
        <v>0</v>
      </c>
      <c r="N25" s="229">
        <f>SUM(N5:N24)</f>
        <v>0</v>
      </c>
      <c r="O25" s="229">
        <f>SUM(O5:O24)</f>
        <v>0</v>
      </c>
      <c r="P25" s="229">
        <f>SUM(P5:P24)</f>
        <v>0</v>
      </c>
      <c r="Q25" s="229">
        <f>SUM(Q5:Q24)</f>
        <v>0</v>
      </c>
      <c r="R25" s="29"/>
      <c r="S25" s="29"/>
      <c r="T25" s="58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5" thickBot="1">
      <c r="A26" s="43"/>
      <c r="B26" s="178"/>
      <c r="C26" s="29"/>
      <c r="D26" s="185"/>
      <c r="E26" s="33"/>
      <c r="F26" s="252"/>
      <c r="G26" s="253"/>
      <c r="H26" s="253"/>
      <c r="I26" s="254"/>
      <c r="J26" s="36"/>
      <c r="K26" s="37">
        <v>1</v>
      </c>
      <c r="S26" s="33"/>
      <c r="U26" s="73" t="s">
        <v>92</v>
      </c>
      <c r="V26" s="1"/>
      <c r="W26" s="1"/>
      <c r="X26" s="1"/>
      <c r="Y26" s="1"/>
      <c r="Z26" s="1"/>
      <c r="AA26" s="2" t="s">
        <v>93</v>
      </c>
      <c r="AB26" s="1"/>
      <c r="AC26" s="1"/>
      <c r="AD26" s="1"/>
      <c r="AE26" s="1"/>
    </row>
    <row r="27" spans="1:31" ht="13.5">
      <c r="A27" s="43" t="s">
        <v>65</v>
      </c>
      <c r="B27" s="178"/>
      <c r="C27" s="23"/>
      <c r="D27" s="186"/>
      <c r="E27" s="33"/>
      <c r="F27" s="252"/>
      <c r="G27" s="253"/>
      <c r="H27" s="253"/>
      <c r="I27" s="254"/>
      <c r="J27" s="36"/>
      <c r="K27" s="37">
        <v>1</v>
      </c>
      <c r="S27" s="33"/>
      <c r="U27" s="74"/>
      <c r="V27" s="75"/>
      <c r="W27" s="75"/>
      <c r="X27" s="61"/>
      <c r="Y27" s="62"/>
      <c r="Z27" s="1"/>
      <c r="AA27" s="60"/>
      <c r="AB27" s="61"/>
      <c r="AC27" s="75" t="s">
        <v>94</v>
      </c>
      <c r="AD27" s="61"/>
      <c r="AE27" s="62" t="s">
        <v>94</v>
      </c>
    </row>
    <row r="28" spans="1:31" ht="13.5">
      <c r="A28" s="43"/>
      <c r="B28" s="178"/>
      <c r="C28" s="23"/>
      <c r="D28" s="187"/>
      <c r="E28" s="44"/>
      <c r="F28" s="252"/>
      <c r="G28" s="253"/>
      <c r="H28" s="253"/>
      <c r="I28" s="254"/>
      <c r="J28" s="36"/>
      <c r="K28" s="37">
        <v>1</v>
      </c>
      <c r="S28" s="33"/>
      <c r="U28" s="76" t="s">
        <v>45</v>
      </c>
      <c r="V28" s="77" t="s">
        <v>95</v>
      </c>
      <c r="W28" s="77" t="s">
        <v>96</v>
      </c>
      <c r="X28" s="57"/>
      <c r="Y28" s="64"/>
      <c r="Z28" s="1"/>
      <c r="AA28" s="63" t="s">
        <v>97</v>
      </c>
      <c r="AB28" s="57"/>
      <c r="AC28" s="77" t="s">
        <v>97</v>
      </c>
      <c r="AD28" s="57"/>
      <c r="AE28" s="64" t="s">
        <v>97</v>
      </c>
    </row>
    <row r="29" spans="1:31" ht="13.5">
      <c r="A29" s="43" t="s">
        <v>66</v>
      </c>
      <c r="B29" s="178"/>
      <c r="C29" s="23"/>
      <c r="D29" s="188"/>
      <c r="E29" s="44"/>
      <c r="F29" s="252"/>
      <c r="G29" s="253"/>
      <c r="H29" s="253"/>
      <c r="I29" s="254"/>
      <c r="J29" s="36"/>
      <c r="K29" s="37">
        <v>1</v>
      </c>
      <c r="S29" s="33"/>
      <c r="U29" s="76"/>
      <c r="V29" s="77" t="s">
        <v>22</v>
      </c>
      <c r="W29" s="77" t="s">
        <v>98</v>
      </c>
      <c r="X29" s="57"/>
      <c r="Y29" s="64" t="s">
        <v>99</v>
      </c>
      <c r="Z29" s="1"/>
      <c r="AA29" s="63" t="s">
        <v>100</v>
      </c>
      <c r="AB29" s="57"/>
      <c r="AC29" s="77" t="s">
        <v>100</v>
      </c>
      <c r="AD29" s="57"/>
      <c r="AE29" s="64" t="s">
        <v>100</v>
      </c>
    </row>
    <row r="30" spans="1:31" ht="15" thickBot="1">
      <c r="A30" s="43"/>
      <c r="B30" s="178"/>
      <c r="C30" s="23"/>
      <c r="D30" s="189"/>
      <c r="E30" s="33"/>
      <c r="F30" s="252"/>
      <c r="G30" s="253"/>
      <c r="H30" s="253"/>
      <c r="I30" s="254"/>
      <c r="J30" s="36"/>
      <c r="K30" s="37">
        <v>1</v>
      </c>
      <c r="S30" s="33"/>
      <c r="U30" s="78"/>
      <c r="V30" s="79"/>
      <c r="W30" s="79"/>
      <c r="X30" s="71"/>
      <c r="Y30" s="69" t="s">
        <v>22</v>
      </c>
      <c r="Z30" s="1"/>
      <c r="AA30" s="70" t="s">
        <v>101</v>
      </c>
      <c r="AB30" s="71"/>
      <c r="AC30" s="79" t="s">
        <v>102</v>
      </c>
      <c r="AD30" s="71"/>
      <c r="AE30" s="69" t="s">
        <v>103</v>
      </c>
    </row>
    <row r="31" spans="1:31" ht="15" thickBot="1">
      <c r="A31" s="43" t="s">
        <v>67</v>
      </c>
      <c r="B31" s="178"/>
      <c r="C31" s="23"/>
      <c r="D31" s="190"/>
      <c r="E31" s="45"/>
      <c r="F31" s="252"/>
      <c r="G31" s="253"/>
      <c r="H31" s="253"/>
      <c r="I31" s="254"/>
      <c r="J31" s="29"/>
      <c r="K31" s="46"/>
      <c r="L31" s="25"/>
      <c r="M31" s="25"/>
      <c r="N31" s="24"/>
      <c r="O31" s="26"/>
      <c r="P31" s="29"/>
      <c r="Q31" s="29"/>
      <c r="R31" s="33"/>
      <c r="S31" s="33"/>
      <c r="U31" s="162">
        <v>1</v>
      </c>
      <c r="V31" s="80">
        <f>1+('[1]Calc sheet'!W17)</f>
        <v>1</v>
      </c>
      <c r="W31" s="81">
        <f>+V31</f>
        <v>1</v>
      </c>
      <c r="X31" s="57"/>
      <c r="Y31" s="64">
        <f>1/W31</f>
        <v>1</v>
      </c>
      <c r="Z31" s="1"/>
      <c r="AA31" s="82">
        <f>1+H11</f>
        <v>1</v>
      </c>
      <c r="AB31" s="57"/>
      <c r="AC31" s="83">
        <f>1+H13</f>
        <v>1</v>
      </c>
      <c r="AD31" s="57"/>
      <c r="AE31" s="84">
        <f>1+H15</f>
        <v>1</v>
      </c>
    </row>
    <row r="32" spans="1:31" ht="15" customHeight="1">
      <c r="A32" s="211"/>
      <c r="B32" s="192"/>
      <c r="C32" s="26"/>
      <c r="D32" s="192"/>
      <c r="E32" s="26"/>
      <c r="F32" s="252"/>
      <c r="G32" s="253"/>
      <c r="H32" s="253"/>
      <c r="I32" s="254"/>
      <c r="J32" s="29"/>
      <c r="K32" s="112"/>
      <c r="L32" s="113"/>
      <c r="M32" s="114"/>
      <c r="N32" s="114"/>
      <c r="O32" s="241" t="s">
        <v>140</v>
      </c>
      <c r="P32" s="242"/>
      <c r="Q32" s="242"/>
      <c r="R32" s="243"/>
      <c r="S32" s="236"/>
      <c r="U32" s="163">
        <v>2</v>
      </c>
      <c r="V32" s="83">
        <f>+V31</f>
        <v>1</v>
      </c>
      <c r="W32" s="85">
        <f>+V32*V31</f>
        <v>1</v>
      </c>
      <c r="X32" s="57"/>
      <c r="Y32" s="64">
        <f>1/W32</f>
        <v>1</v>
      </c>
      <c r="Z32" s="1"/>
      <c r="AA32" s="82">
        <f>(1+H11)*AA31</f>
        <v>1</v>
      </c>
      <c r="AB32" s="57"/>
      <c r="AC32" s="83">
        <f>(1+H13)*AC31</f>
        <v>1</v>
      </c>
      <c r="AD32" s="57"/>
      <c r="AE32" s="84">
        <f>(1+H15)*AE31</f>
        <v>1</v>
      </c>
    </row>
    <row r="33" spans="1:31" ht="14.25" customHeight="1">
      <c r="A33" s="48"/>
      <c r="B33" s="191" t="s">
        <v>68</v>
      </c>
      <c r="C33" s="49"/>
      <c r="D33" s="191" t="s">
        <v>69</v>
      </c>
      <c r="E33" s="31"/>
      <c r="F33" s="205" t="s">
        <v>70</v>
      </c>
      <c r="G33" s="206"/>
      <c r="H33" s="205" t="s">
        <v>71</v>
      </c>
      <c r="I33" s="32"/>
      <c r="J33" s="29"/>
      <c r="K33" s="119" t="s">
        <v>72</v>
      </c>
      <c r="L33" s="115"/>
      <c r="M33" s="118"/>
      <c r="N33" s="232"/>
      <c r="O33" s="244"/>
      <c r="P33" s="245"/>
      <c r="Q33" s="245"/>
      <c r="R33" s="246"/>
      <c r="S33" s="236"/>
      <c r="U33" s="163">
        <v>3</v>
      </c>
      <c r="V33" s="83">
        <f aca="true" t="shared" si="5" ref="V33:V50">+V32</f>
        <v>1</v>
      </c>
      <c r="W33" s="85">
        <f>+V33*W32</f>
        <v>1</v>
      </c>
      <c r="X33" s="57"/>
      <c r="Y33" s="64">
        <f aca="true" t="shared" si="6" ref="Y33:Y45">1/W33</f>
        <v>1</v>
      </c>
      <c r="Z33" s="1"/>
      <c r="AA33" s="82">
        <f>(1+H11)*AA32</f>
        <v>1</v>
      </c>
      <c r="AB33" s="57"/>
      <c r="AC33" s="83">
        <f>(1+H13)*AC32</f>
        <v>1</v>
      </c>
      <c r="AD33" s="57"/>
      <c r="AE33" s="84">
        <f>(1+H15)*AE32</f>
        <v>1</v>
      </c>
    </row>
    <row r="34" spans="1:31" ht="13.5" customHeight="1">
      <c r="A34" s="43"/>
      <c r="B34" s="178"/>
      <c r="C34" s="41"/>
      <c r="D34" s="178"/>
      <c r="E34" s="23"/>
      <c r="F34" s="178"/>
      <c r="G34" s="23"/>
      <c r="H34" s="178"/>
      <c r="I34" s="50"/>
      <c r="J34" s="36"/>
      <c r="K34" s="119"/>
      <c r="L34" s="115"/>
      <c r="M34" s="116"/>
      <c r="N34" s="233"/>
      <c r="O34" s="244"/>
      <c r="P34" s="245"/>
      <c r="Q34" s="245"/>
      <c r="R34" s="246"/>
      <c r="S34" s="236"/>
      <c r="U34" s="163">
        <v>4</v>
      </c>
      <c r="V34" s="83">
        <f t="shared" si="5"/>
        <v>1</v>
      </c>
      <c r="W34" s="85">
        <f aca="true" t="shared" si="7" ref="W34:W45">+W33*V34</f>
        <v>1</v>
      </c>
      <c r="X34" s="57"/>
      <c r="Y34" s="64">
        <f t="shared" si="6"/>
        <v>1</v>
      </c>
      <c r="Z34" s="1"/>
      <c r="AA34" s="82">
        <f>(1+H11)*AA33</f>
        <v>1</v>
      </c>
      <c r="AB34" s="57"/>
      <c r="AC34" s="83">
        <f>(1+H13)*AC33</f>
        <v>1</v>
      </c>
      <c r="AD34" s="57"/>
      <c r="AE34" s="84">
        <f>(1+H15)*AE33</f>
        <v>1</v>
      </c>
    </row>
    <row r="35" spans="1:31" ht="13.5">
      <c r="A35" s="43" t="s">
        <v>73</v>
      </c>
      <c r="B35" s="218"/>
      <c r="C35" s="41" t="s">
        <v>74</v>
      </c>
      <c r="D35" s="222"/>
      <c r="E35" s="207"/>
      <c r="F35" s="225"/>
      <c r="G35" s="208"/>
      <c r="H35" s="222"/>
      <c r="I35" s="35"/>
      <c r="J35" s="51"/>
      <c r="K35" s="119" t="s">
        <v>75</v>
      </c>
      <c r="L35" s="115"/>
      <c r="M35" s="116"/>
      <c r="N35" s="234"/>
      <c r="O35" s="244"/>
      <c r="P35" s="245"/>
      <c r="Q35" s="245"/>
      <c r="R35" s="246"/>
      <c r="S35" s="236"/>
      <c r="U35" s="163">
        <v>5</v>
      </c>
      <c r="V35" s="83">
        <f>+V34</f>
        <v>1</v>
      </c>
      <c r="W35" s="85">
        <f t="shared" si="7"/>
        <v>1</v>
      </c>
      <c r="X35" s="57"/>
      <c r="Y35" s="64">
        <f t="shared" si="6"/>
        <v>1</v>
      </c>
      <c r="Z35" s="1"/>
      <c r="AA35" s="82">
        <f>(1+H11)*AA34</f>
        <v>1</v>
      </c>
      <c r="AB35" s="57"/>
      <c r="AC35" s="83">
        <f>(1+H13)*AC34</f>
        <v>1</v>
      </c>
      <c r="AD35" s="57"/>
      <c r="AE35" s="84">
        <f>(1+H15)*AE34</f>
        <v>1</v>
      </c>
    </row>
    <row r="36" spans="1:31" ht="13.5">
      <c r="A36" s="43" t="s">
        <v>55</v>
      </c>
      <c r="B36" s="219"/>
      <c r="C36" s="41" t="s">
        <v>142</v>
      </c>
      <c r="D36" s="222"/>
      <c r="E36" s="207"/>
      <c r="F36" s="238"/>
      <c r="G36" s="208"/>
      <c r="H36" s="222"/>
      <c r="I36" s="35"/>
      <c r="J36" s="36"/>
      <c r="K36" s="119"/>
      <c r="L36" s="115"/>
      <c r="M36" s="116"/>
      <c r="N36" s="115"/>
      <c r="O36" s="141"/>
      <c r="P36" s="142"/>
      <c r="Q36" s="142"/>
      <c r="R36" s="148"/>
      <c r="S36" s="142"/>
      <c r="U36" s="163">
        <v>6</v>
      </c>
      <c r="V36" s="83">
        <f>+V35</f>
        <v>1</v>
      </c>
      <c r="W36" s="85">
        <f t="shared" si="7"/>
        <v>1</v>
      </c>
      <c r="X36" s="57"/>
      <c r="Y36" s="64">
        <f t="shared" si="6"/>
        <v>1</v>
      </c>
      <c r="Z36" s="1"/>
      <c r="AA36" s="82">
        <f>(1+H11)*AA35</f>
        <v>1</v>
      </c>
      <c r="AB36" s="57"/>
      <c r="AC36" s="83">
        <f>(1+H13)*AC35</f>
        <v>1</v>
      </c>
      <c r="AD36" s="57"/>
      <c r="AE36" s="84">
        <f>(1+H15)*AE35</f>
        <v>1</v>
      </c>
    </row>
    <row r="37" spans="1:31" ht="13.5">
      <c r="A37" s="52" t="s">
        <v>7</v>
      </c>
      <c r="B37" s="218"/>
      <c r="C37" s="41" t="s">
        <v>142</v>
      </c>
      <c r="D37" s="222"/>
      <c r="E37" s="207"/>
      <c r="F37" s="225"/>
      <c r="G37" s="208"/>
      <c r="H37" s="222"/>
      <c r="I37" s="35"/>
      <c r="J37" s="36"/>
      <c r="K37" s="119" t="s">
        <v>76</v>
      </c>
      <c r="L37" s="115"/>
      <c r="M37" s="116"/>
      <c r="N37" s="232"/>
      <c r="O37" s="141"/>
      <c r="P37" s="142"/>
      <c r="Q37" s="142"/>
      <c r="R37" s="148"/>
      <c r="S37" s="142"/>
      <c r="U37" s="163">
        <v>7</v>
      </c>
      <c r="V37" s="83">
        <f t="shared" si="5"/>
        <v>1</v>
      </c>
      <c r="W37" s="85">
        <f t="shared" si="7"/>
        <v>1</v>
      </c>
      <c r="X37" s="57"/>
      <c r="Y37" s="64">
        <f t="shared" si="6"/>
        <v>1</v>
      </c>
      <c r="Z37" s="1"/>
      <c r="AA37" s="82">
        <f>(1+H11)*AA36</f>
        <v>1</v>
      </c>
      <c r="AB37" s="57"/>
      <c r="AC37" s="83">
        <f>(1+H13)*AC36</f>
        <v>1</v>
      </c>
      <c r="AD37" s="57"/>
      <c r="AE37" s="84">
        <f>(1+H15)*AE36</f>
        <v>1</v>
      </c>
    </row>
    <row r="38" spans="1:31" ht="13.5">
      <c r="A38" s="52" t="s">
        <v>77</v>
      </c>
      <c r="B38" s="218"/>
      <c r="C38" s="41" t="s">
        <v>74</v>
      </c>
      <c r="D38" s="222"/>
      <c r="E38" s="207"/>
      <c r="F38" s="225"/>
      <c r="G38" s="208"/>
      <c r="H38" s="222"/>
      <c r="I38" s="35"/>
      <c r="J38" s="36"/>
      <c r="K38" s="120"/>
      <c r="L38" s="115"/>
      <c r="M38" s="116"/>
      <c r="N38" s="235"/>
      <c r="O38" s="141"/>
      <c r="P38" s="142"/>
      <c r="Q38" s="142"/>
      <c r="R38" s="148"/>
      <c r="S38" s="142"/>
      <c r="U38" s="163">
        <v>8</v>
      </c>
      <c r="V38" s="83">
        <f t="shared" si="5"/>
        <v>1</v>
      </c>
      <c r="W38" s="85">
        <f t="shared" si="7"/>
        <v>1</v>
      </c>
      <c r="X38" s="57"/>
      <c r="Y38" s="64">
        <f t="shared" si="6"/>
        <v>1</v>
      </c>
      <c r="Z38" s="1"/>
      <c r="AA38" s="82">
        <f>(1+H11)*AA37</f>
        <v>1</v>
      </c>
      <c r="AB38" s="57"/>
      <c r="AC38" s="83">
        <f>(1+H13)*AC37</f>
        <v>1</v>
      </c>
      <c r="AD38" s="57"/>
      <c r="AE38" s="84">
        <f>(1+H15)*AE37</f>
        <v>1</v>
      </c>
    </row>
    <row r="39" spans="1:31" ht="13.5">
      <c r="A39" s="43"/>
      <c r="B39" s="178"/>
      <c r="C39" s="41"/>
      <c r="D39" s="178"/>
      <c r="E39" s="23"/>
      <c r="F39" s="178"/>
      <c r="G39" s="23"/>
      <c r="H39" s="178"/>
      <c r="I39" s="35"/>
      <c r="J39" s="36"/>
      <c r="K39" s="119"/>
      <c r="L39" s="115"/>
      <c r="M39" s="116"/>
      <c r="N39" s="240"/>
      <c r="O39" s="141"/>
      <c r="P39" s="142"/>
      <c r="Q39" s="142"/>
      <c r="R39" s="148"/>
      <c r="S39" s="142"/>
      <c r="U39" s="163">
        <v>9</v>
      </c>
      <c r="V39" s="83">
        <f t="shared" si="5"/>
        <v>1</v>
      </c>
      <c r="W39" s="85">
        <f t="shared" si="7"/>
        <v>1</v>
      </c>
      <c r="X39" s="57"/>
      <c r="Y39" s="64">
        <f t="shared" si="6"/>
        <v>1</v>
      </c>
      <c r="Z39" s="1"/>
      <c r="AA39" s="82">
        <f>(1+H11)*AA38</f>
        <v>1</v>
      </c>
      <c r="AB39" s="57"/>
      <c r="AC39" s="83">
        <f>(1+H13)*AC38</f>
        <v>1</v>
      </c>
      <c r="AD39" s="57"/>
      <c r="AE39" s="84">
        <f>(1+H15)*AE38</f>
        <v>1</v>
      </c>
    </row>
    <row r="40" spans="1:31" ht="15" thickBot="1">
      <c r="A40" s="43"/>
      <c r="B40" s="178"/>
      <c r="C40" s="41"/>
      <c r="D40" s="209" t="s">
        <v>78</v>
      </c>
      <c r="E40" s="23"/>
      <c r="F40" s="209" t="s">
        <v>70</v>
      </c>
      <c r="G40" s="207"/>
      <c r="H40" s="178"/>
      <c r="I40" s="53"/>
      <c r="J40" s="36"/>
      <c r="K40" s="121"/>
      <c r="L40" s="122"/>
      <c r="M40" s="117"/>
      <c r="N40" s="117"/>
      <c r="O40" s="149"/>
      <c r="P40" s="150"/>
      <c r="Q40" s="150"/>
      <c r="R40" s="151"/>
      <c r="S40" s="142"/>
      <c r="U40" s="163">
        <v>10</v>
      </c>
      <c r="V40" s="83">
        <f t="shared" si="5"/>
        <v>1</v>
      </c>
      <c r="W40" s="85">
        <f t="shared" si="7"/>
        <v>1</v>
      </c>
      <c r="X40" s="57"/>
      <c r="Y40" s="64">
        <f t="shared" si="6"/>
        <v>1</v>
      </c>
      <c r="Z40" s="1"/>
      <c r="AA40" s="82">
        <f>(1+H11)*AA39</f>
        <v>1</v>
      </c>
      <c r="AB40" s="57"/>
      <c r="AC40" s="83">
        <f>(1+H13)*AC39</f>
        <v>1</v>
      </c>
      <c r="AD40" s="57"/>
      <c r="AE40" s="84">
        <f>(1+H15)*AE39</f>
        <v>1</v>
      </c>
    </row>
    <row r="41" spans="1:31" ht="11.25" customHeight="1">
      <c r="A41" s="43"/>
      <c r="B41" s="178"/>
      <c r="C41" s="41"/>
      <c r="D41" s="178"/>
      <c r="E41" s="23"/>
      <c r="F41" s="178"/>
      <c r="G41" s="23"/>
      <c r="H41" s="178"/>
      <c r="I41" s="53"/>
      <c r="J41" s="36"/>
      <c r="L41" s="25"/>
      <c r="M41" s="25"/>
      <c r="N41" s="24"/>
      <c r="O41" s="26"/>
      <c r="P41" s="24"/>
      <c r="Q41" s="24"/>
      <c r="R41" s="24"/>
      <c r="S41" s="142"/>
      <c r="U41" s="163">
        <v>11</v>
      </c>
      <c r="V41" s="83">
        <f t="shared" si="5"/>
        <v>1</v>
      </c>
      <c r="W41" s="85">
        <f t="shared" si="7"/>
        <v>1</v>
      </c>
      <c r="X41" s="57"/>
      <c r="Y41" s="64">
        <f t="shared" si="6"/>
        <v>1</v>
      </c>
      <c r="Z41" s="1"/>
      <c r="AA41" s="82">
        <f>(1+H11)*AA40</f>
        <v>1</v>
      </c>
      <c r="AB41" s="57"/>
      <c r="AC41" s="83">
        <f>(1+H13)*AC40</f>
        <v>1</v>
      </c>
      <c r="AD41" s="57"/>
      <c r="AE41" s="84">
        <f>(1+H15)*AE40</f>
        <v>1</v>
      </c>
    </row>
    <row r="42" spans="1:31" ht="13.5">
      <c r="A42" s="43" t="s">
        <v>33</v>
      </c>
      <c r="B42" s="218"/>
      <c r="C42" s="41" t="s">
        <v>34</v>
      </c>
      <c r="D42" s="223"/>
      <c r="E42" s="23"/>
      <c r="F42" s="196"/>
      <c r="G42" s="23"/>
      <c r="H42" s="178"/>
      <c r="I42" s="53"/>
      <c r="J42" s="36"/>
      <c r="K42" s="24"/>
      <c r="L42" s="25"/>
      <c r="N42" s="155" t="s">
        <v>143</v>
      </c>
      <c r="O42" s="26"/>
      <c r="P42" s="24"/>
      <c r="Q42" s="24"/>
      <c r="R42" s="24"/>
      <c r="S42" s="26"/>
      <c r="U42" s="163">
        <v>12</v>
      </c>
      <c r="V42" s="83">
        <f t="shared" si="5"/>
        <v>1</v>
      </c>
      <c r="W42" s="85">
        <f t="shared" si="7"/>
        <v>1</v>
      </c>
      <c r="X42" s="57"/>
      <c r="Y42" s="64">
        <f t="shared" si="6"/>
        <v>1</v>
      </c>
      <c r="Z42" s="1"/>
      <c r="AA42" s="82">
        <f>(1+H11)*AA41</f>
        <v>1</v>
      </c>
      <c r="AB42" s="57"/>
      <c r="AC42" s="83">
        <f>(1+H13)*AC41</f>
        <v>1</v>
      </c>
      <c r="AD42" s="57"/>
      <c r="AE42" s="84">
        <f>(1+H15)*AE41</f>
        <v>1</v>
      </c>
    </row>
    <row r="43" spans="1:31" ht="13.5">
      <c r="A43" s="43" t="s">
        <v>37</v>
      </c>
      <c r="B43" s="218"/>
      <c r="C43" s="41" t="s">
        <v>34</v>
      </c>
      <c r="D43" s="223"/>
      <c r="E43" s="23"/>
      <c r="F43" s="196"/>
      <c r="G43" s="29"/>
      <c r="H43" s="182"/>
      <c r="I43" s="53"/>
      <c r="J43" s="54"/>
      <c r="K43" s="24"/>
      <c r="L43" s="29"/>
      <c r="M43" s="55"/>
      <c r="N43" s="24"/>
      <c r="O43" s="26"/>
      <c r="P43" s="24"/>
      <c r="Q43" s="24"/>
      <c r="R43" s="24"/>
      <c r="S43" s="24"/>
      <c r="U43" s="163">
        <v>13</v>
      </c>
      <c r="V43" s="83">
        <f t="shared" si="5"/>
        <v>1</v>
      </c>
      <c r="W43" s="85">
        <f t="shared" si="7"/>
        <v>1</v>
      </c>
      <c r="X43" s="57"/>
      <c r="Y43" s="64">
        <f t="shared" si="6"/>
        <v>1</v>
      </c>
      <c r="Z43" s="1"/>
      <c r="AA43" s="82">
        <f>(1+H11)*AA42</f>
        <v>1</v>
      </c>
      <c r="AB43" s="57"/>
      <c r="AC43" s="83">
        <f>(1+H13)*AC42</f>
        <v>1</v>
      </c>
      <c r="AD43" s="57"/>
      <c r="AE43" s="84">
        <f>(1+H15)*AE42</f>
        <v>1</v>
      </c>
    </row>
    <row r="44" spans="1:31" ht="13.5">
      <c r="A44" s="43" t="s">
        <v>40</v>
      </c>
      <c r="B44" s="218"/>
      <c r="C44" s="41" t="s">
        <v>34</v>
      </c>
      <c r="D44" s="224"/>
      <c r="E44" s="23"/>
      <c r="F44" s="196"/>
      <c r="G44" s="23"/>
      <c r="H44" s="178"/>
      <c r="I44" s="53"/>
      <c r="J44" s="54"/>
      <c r="K44" s="33"/>
      <c r="L44" s="25"/>
      <c r="M44" s="25"/>
      <c r="N44" s="24"/>
      <c r="O44" s="26"/>
      <c r="P44" s="24"/>
      <c r="Q44" s="24"/>
      <c r="R44" s="24"/>
      <c r="S44" s="24"/>
      <c r="U44" s="163">
        <v>14</v>
      </c>
      <c r="V44" s="83">
        <f t="shared" si="5"/>
        <v>1</v>
      </c>
      <c r="W44" s="85">
        <f t="shared" si="7"/>
        <v>1</v>
      </c>
      <c r="X44" s="57"/>
      <c r="Y44" s="64">
        <f t="shared" si="6"/>
        <v>1</v>
      </c>
      <c r="Z44" s="1"/>
      <c r="AA44" s="82">
        <f>(1+H11)*AA43</f>
        <v>1</v>
      </c>
      <c r="AB44" s="57"/>
      <c r="AC44" s="83">
        <f>(1+H13)*AC43</f>
        <v>1</v>
      </c>
      <c r="AD44" s="57"/>
      <c r="AE44" s="84">
        <f>(1+H15)*AE43</f>
        <v>1</v>
      </c>
    </row>
    <row r="45" spans="1:31" ht="13.5">
      <c r="A45" s="43"/>
      <c r="B45" s="178"/>
      <c r="C45" s="41"/>
      <c r="D45" s="178"/>
      <c r="E45" s="23"/>
      <c r="F45" s="178"/>
      <c r="G45" s="29"/>
      <c r="H45" s="182"/>
      <c r="I45" s="53"/>
      <c r="J45" s="54"/>
      <c r="K45" s="24"/>
      <c r="L45" s="23"/>
      <c r="M45" s="41"/>
      <c r="N45" s="23"/>
      <c r="O45" s="33"/>
      <c r="P45" s="33"/>
      <c r="Q45" s="33"/>
      <c r="R45" s="33"/>
      <c r="S45" s="24"/>
      <c r="U45" s="163">
        <v>15</v>
      </c>
      <c r="V45" s="83">
        <f t="shared" si="5"/>
        <v>1</v>
      </c>
      <c r="W45" s="85">
        <f t="shared" si="7"/>
        <v>1</v>
      </c>
      <c r="X45" s="57"/>
      <c r="Y45" s="64">
        <f t="shared" si="6"/>
        <v>1</v>
      </c>
      <c r="Z45" s="1"/>
      <c r="AA45" s="82">
        <f>(1+H11)*AA44</f>
        <v>1</v>
      </c>
      <c r="AB45" s="57"/>
      <c r="AC45" s="83">
        <f>(1+H13)*AC44</f>
        <v>1</v>
      </c>
      <c r="AD45" s="57"/>
      <c r="AE45" s="84">
        <f>(1+H15)*AE44</f>
        <v>1</v>
      </c>
    </row>
    <row r="46" spans="1:31" ht="13.5">
      <c r="A46" s="43" t="s">
        <v>79</v>
      </c>
      <c r="B46" s="220"/>
      <c r="C46" s="41"/>
      <c r="D46" s="210"/>
      <c r="E46" s="23"/>
      <c r="F46" s="178"/>
      <c r="G46" s="23"/>
      <c r="H46" s="178"/>
      <c r="I46" s="53"/>
      <c r="J46" s="54"/>
      <c r="K46" s="23"/>
      <c r="L46" s="23"/>
      <c r="M46" s="41"/>
      <c r="N46" s="23"/>
      <c r="O46" s="26"/>
      <c r="P46" s="26"/>
      <c r="Q46" s="26"/>
      <c r="R46" s="26"/>
      <c r="S46" s="33"/>
      <c r="U46" s="163">
        <v>16</v>
      </c>
      <c r="V46" s="83">
        <f t="shared" si="5"/>
        <v>1</v>
      </c>
      <c r="W46" s="85">
        <f>+W45*V46</f>
        <v>1</v>
      </c>
      <c r="X46" s="57"/>
      <c r="Y46" s="64">
        <f>1/W46</f>
        <v>1</v>
      </c>
      <c r="Z46" s="1"/>
      <c r="AA46" s="82">
        <f>(1+H11)*AA45</f>
        <v>1</v>
      </c>
      <c r="AB46" s="57"/>
      <c r="AC46" s="83">
        <f>(1+H13)*AC45</f>
        <v>1</v>
      </c>
      <c r="AD46" s="57"/>
      <c r="AE46" s="84">
        <f>(1+H15)*AE45</f>
        <v>1</v>
      </c>
    </row>
    <row r="47" spans="1:31" ht="11.25" customHeight="1">
      <c r="A47" s="43"/>
      <c r="B47" s="178"/>
      <c r="C47" s="41"/>
      <c r="D47" s="210"/>
      <c r="E47" s="23"/>
      <c r="F47" s="178"/>
      <c r="G47" s="23"/>
      <c r="H47" s="178"/>
      <c r="I47" s="53"/>
      <c r="J47" s="54"/>
      <c r="K47" s="23"/>
      <c r="L47" s="23"/>
      <c r="M47" s="41"/>
      <c r="N47" s="23"/>
      <c r="O47" s="26"/>
      <c r="P47" s="26"/>
      <c r="Q47" s="26"/>
      <c r="R47" s="26"/>
      <c r="S47" s="33"/>
      <c r="U47" s="163">
        <v>17</v>
      </c>
      <c r="V47" s="83">
        <f t="shared" si="5"/>
        <v>1</v>
      </c>
      <c r="W47" s="85">
        <f>+W46*V47</f>
        <v>1</v>
      </c>
      <c r="X47" s="57"/>
      <c r="Y47" s="64">
        <f>1/W47</f>
        <v>1</v>
      </c>
      <c r="Z47" s="1"/>
      <c r="AA47" s="82">
        <f>(1+H11)*AA46</f>
        <v>1</v>
      </c>
      <c r="AB47" s="57"/>
      <c r="AC47" s="83">
        <f>(1+H13)*AC46</f>
        <v>1</v>
      </c>
      <c r="AD47" s="57"/>
      <c r="AE47" s="84">
        <f>(1+H15)*AE46</f>
        <v>1</v>
      </c>
    </row>
    <row r="48" spans="1:31" ht="13.5">
      <c r="A48" s="212" t="s">
        <v>80</v>
      </c>
      <c r="B48" s="221"/>
      <c r="C48" s="213"/>
      <c r="D48" s="214"/>
      <c r="E48" s="215"/>
      <c r="F48" s="214"/>
      <c r="G48" s="216"/>
      <c r="H48" s="217"/>
      <c r="I48" s="56"/>
      <c r="J48" s="54"/>
      <c r="K48" s="23"/>
      <c r="L48" s="41"/>
      <c r="M48" s="41"/>
      <c r="N48" s="23"/>
      <c r="O48" s="26"/>
      <c r="P48" s="26"/>
      <c r="Q48" s="26"/>
      <c r="R48" s="26"/>
      <c r="S48" s="33"/>
      <c r="U48" s="163">
        <v>18</v>
      </c>
      <c r="V48" s="83">
        <f t="shared" si="5"/>
        <v>1</v>
      </c>
      <c r="W48" s="85">
        <f>+W47*V48</f>
        <v>1</v>
      </c>
      <c r="X48" s="57"/>
      <c r="Y48" s="64">
        <f>1/W48</f>
        <v>1</v>
      </c>
      <c r="Z48" s="1"/>
      <c r="AA48" s="82">
        <f>(1+H11)*AA47</f>
        <v>1</v>
      </c>
      <c r="AB48" s="57"/>
      <c r="AC48" s="83">
        <f>(1+H13)*AC47</f>
        <v>1</v>
      </c>
      <c r="AD48" s="57"/>
      <c r="AE48" s="84">
        <f>(1+H15)*AE47</f>
        <v>1</v>
      </c>
    </row>
    <row r="49" spans="1:31" ht="13.5">
      <c r="A49" s="143">
        <v>0</v>
      </c>
      <c r="B49" s="192"/>
      <c r="C49" s="26"/>
      <c r="D49" s="192"/>
      <c r="E49" s="144"/>
      <c r="F49" s="171"/>
      <c r="G49" s="23"/>
      <c r="H49" s="178"/>
      <c r="I49" s="54"/>
      <c r="J49" s="54"/>
      <c r="K49" s="23"/>
      <c r="L49" s="41"/>
      <c r="M49" s="41"/>
      <c r="N49" s="23"/>
      <c r="O49" s="26"/>
      <c r="P49" s="26"/>
      <c r="Q49" s="26"/>
      <c r="R49" s="26"/>
      <c r="S49" s="33"/>
      <c r="U49" s="163">
        <v>19</v>
      </c>
      <c r="V49" s="83">
        <f t="shared" si="5"/>
        <v>1</v>
      </c>
      <c r="W49" s="85">
        <f>+W48*V49</f>
        <v>1</v>
      </c>
      <c r="X49" s="57"/>
      <c r="Y49" s="64">
        <f>1/W49</f>
        <v>1</v>
      </c>
      <c r="Z49" s="1"/>
      <c r="AA49" s="82">
        <f>(1+H11)*AA48</f>
        <v>1</v>
      </c>
      <c r="AB49" s="57"/>
      <c r="AC49" s="83">
        <f>(1+H13)*AC48</f>
        <v>1</v>
      </c>
      <c r="AD49" s="57"/>
      <c r="AE49" s="84">
        <f>(1+H15)*AE48</f>
        <v>1</v>
      </c>
    </row>
    <row r="50" spans="1:31" ht="15" thickBot="1">
      <c r="A50" s="143"/>
      <c r="B50" s="192"/>
      <c r="C50" s="26"/>
      <c r="D50" s="192"/>
      <c r="E50" s="26"/>
      <c r="F50" s="197"/>
      <c r="G50" s="29"/>
      <c r="H50" s="178"/>
      <c r="I50" s="54"/>
      <c r="J50" s="54"/>
      <c r="K50" s="23"/>
      <c r="L50" s="41"/>
      <c r="M50" s="41"/>
      <c r="N50" s="23"/>
      <c r="O50" s="26"/>
      <c r="P50" s="26"/>
      <c r="Q50" s="26"/>
      <c r="R50" s="26"/>
      <c r="S50" s="33"/>
      <c r="U50" s="164">
        <v>20</v>
      </c>
      <c r="V50" s="86">
        <f t="shared" si="5"/>
        <v>1</v>
      </c>
      <c r="W50" s="87">
        <f>+W49*V50</f>
        <v>1</v>
      </c>
      <c r="X50" s="71"/>
      <c r="Y50" s="69">
        <f>1/W50</f>
        <v>1</v>
      </c>
      <c r="Z50" s="1"/>
      <c r="AA50" s="88">
        <f>(1+H11)*AA49</f>
        <v>1</v>
      </c>
      <c r="AB50" s="71"/>
      <c r="AC50" s="86">
        <f>(1+H13)*AC49</f>
        <v>1</v>
      </c>
      <c r="AD50" s="71"/>
      <c r="AE50" s="89">
        <f>(1+H15)*AE49</f>
        <v>1</v>
      </c>
    </row>
    <row r="51" spans="1:31" ht="13.5">
      <c r="A51" s="57"/>
      <c r="B51" s="193"/>
      <c r="C51" s="57"/>
      <c r="D51" s="192"/>
      <c r="E51" s="57"/>
      <c r="F51" s="193"/>
      <c r="G51" s="33"/>
      <c r="H51" s="171"/>
      <c r="I51" s="54"/>
      <c r="J51" s="54"/>
      <c r="K51" s="23"/>
      <c r="L51" s="41"/>
      <c r="M51" s="41"/>
      <c r="N51" s="23"/>
      <c r="O51" s="26"/>
      <c r="P51" s="26"/>
      <c r="Q51" s="26"/>
      <c r="R51" s="26"/>
      <c r="S51" s="33"/>
      <c r="T51" s="58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19" ht="13.5">
      <c r="A52" s="57"/>
      <c r="B52" s="193"/>
      <c r="C52" s="57"/>
      <c r="D52" s="193"/>
      <c r="E52" s="57"/>
      <c r="F52" s="193"/>
      <c r="G52" s="144"/>
      <c r="H52" s="192"/>
      <c r="I52" s="54"/>
      <c r="J52" s="54"/>
      <c r="K52" s="23"/>
      <c r="L52" s="41"/>
      <c r="M52" s="41"/>
      <c r="N52" s="41"/>
      <c r="O52" s="26"/>
      <c r="P52" s="26"/>
      <c r="Q52" s="26"/>
      <c r="R52" s="26"/>
      <c r="S52" s="33"/>
    </row>
    <row r="53" spans="9:19" ht="13.5">
      <c r="I53" s="54"/>
      <c r="J53" s="54"/>
      <c r="K53" s="41"/>
      <c r="L53" s="41"/>
      <c r="M53" s="41"/>
      <c r="N53" s="41"/>
      <c r="O53" s="26"/>
      <c r="P53" s="26"/>
      <c r="Q53" s="26"/>
      <c r="R53" s="26"/>
      <c r="S53" s="33"/>
    </row>
    <row r="54" spans="10:19" ht="13.5">
      <c r="J54" s="54"/>
      <c r="K54" s="41"/>
      <c r="L54" s="41"/>
      <c r="M54" s="41"/>
      <c r="N54" s="23"/>
      <c r="O54" s="26"/>
      <c r="P54" s="26"/>
      <c r="Q54" s="26"/>
      <c r="R54" s="26"/>
      <c r="S54" s="33"/>
    </row>
    <row r="55" spans="10:23" ht="13.5">
      <c r="J55" s="54"/>
      <c r="K55" s="23"/>
      <c r="S55" s="33"/>
      <c r="U55" s="11" t="s">
        <v>152</v>
      </c>
      <c r="V55" s="11" t="s">
        <v>149</v>
      </c>
      <c r="W55" s="11" t="s">
        <v>150</v>
      </c>
    </row>
    <row r="56" spans="21:23" ht="12">
      <c r="U56" s="19">
        <v>0.01</v>
      </c>
      <c r="V56" s="19">
        <v>0.01</v>
      </c>
      <c r="W56" s="19">
        <v>0.01</v>
      </c>
    </row>
    <row r="57" spans="21:23" ht="12">
      <c r="U57" s="19">
        <v>0.02</v>
      </c>
      <c r="V57" s="19">
        <v>0.02</v>
      </c>
      <c r="W57" s="19">
        <v>0.02</v>
      </c>
    </row>
    <row r="58" spans="9:24" ht="12">
      <c r="I58" s="156" t="s">
        <v>148</v>
      </c>
      <c r="U58" s="19">
        <v>0.03</v>
      </c>
      <c r="V58" s="19">
        <v>0.03</v>
      </c>
      <c r="W58" s="19">
        <v>0.03</v>
      </c>
      <c r="X58" s="228"/>
    </row>
    <row r="59" spans="21:23" ht="12">
      <c r="U59" s="19">
        <v>0.04</v>
      </c>
      <c r="V59" s="19">
        <v>0.04</v>
      </c>
      <c r="W59" s="19">
        <v>0.04</v>
      </c>
    </row>
    <row r="60" spans="21:23" ht="12">
      <c r="U60" s="19">
        <v>0.05</v>
      </c>
      <c r="V60" s="19">
        <v>0.05</v>
      </c>
      <c r="W60" s="19">
        <v>0.05</v>
      </c>
    </row>
    <row r="61" spans="21:23" ht="12">
      <c r="U61" s="19">
        <v>0.06</v>
      </c>
      <c r="V61" s="19">
        <v>0.06</v>
      </c>
      <c r="W61" s="19">
        <v>0.06</v>
      </c>
    </row>
    <row r="62" spans="21:23" ht="12">
      <c r="U62" s="19">
        <v>0.07</v>
      </c>
      <c r="V62" s="19">
        <v>0.07</v>
      </c>
      <c r="W62" s="19">
        <v>0.07</v>
      </c>
    </row>
    <row r="63" spans="21:23" ht="12">
      <c r="U63" s="19">
        <v>0.08</v>
      </c>
      <c r="V63" s="19">
        <v>0.08</v>
      </c>
      <c r="W63" s="19">
        <v>0.08</v>
      </c>
    </row>
    <row r="64" spans="21:23" ht="12">
      <c r="U64" s="19">
        <v>0.09</v>
      </c>
      <c r="V64" s="19">
        <v>0.09</v>
      </c>
      <c r="W64" s="19">
        <v>0.09</v>
      </c>
    </row>
    <row r="65" spans="21:23" ht="12">
      <c r="U65" s="19">
        <v>0.1</v>
      </c>
      <c r="V65" s="19">
        <v>0.1</v>
      </c>
      <c r="W65" s="19">
        <v>0.1</v>
      </c>
    </row>
    <row r="66" spans="21:23" ht="12">
      <c r="U66" s="19">
        <v>0.11</v>
      </c>
      <c r="V66" s="19">
        <v>0.11</v>
      </c>
      <c r="W66" s="19">
        <v>0.11</v>
      </c>
    </row>
    <row r="67" spans="21:23" ht="12">
      <c r="U67" s="19">
        <v>0.12</v>
      </c>
      <c r="V67" s="19">
        <v>0.12</v>
      </c>
      <c r="W67" s="19">
        <v>0.12</v>
      </c>
    </row>
    <row r="68" spans="21:23" ht="12">
      <c r="U68" s="19">
        <v>0.13</v>
      </c>
      <c r="V68" s="19">
        <v>0.13</v>
      </c>
      <c r="W68" s="19">
        <v>0.13</v>
      </c>
    </row>
    <row r="69" spans="21:23" ht="12">
      <c r="U69" s="19">
        <v>0.14</v>
      </c>
      <c r="V69" s="19">
        <v>0.14</v>
      </c>
      <c r="W69" s="19">
        <v>0.14</v>
      </c>
    </row>
    <row r="70" spans="21:23" ht="12">
      <c r="U70" s="19">
        <v>0.15</v>
      </c>
      <c r="V70" s="19">
        <v>0.15</v>
      </c>
      <c r="W70" s="19">
        <v>0.15</v>
      </c>
    </row>
    <row r="71" spans="21:23" ht="12">
      <c r="U71" s="19">
        <v>0.16</v>
      </c>
      <c r="V71" s="19">
        <v>0.16</v>
      </c>
      <c r="W71" s="19">
        <v>0.16</v>
      </c>
    </row>
    <row r="72" spans="21:23" ht="12">
      <c r="U72" s="19">
        <v>0.17</v>
      </c>
      <c r="V72" s="19">
        <v>0.17</v>
      </c>
      <c r="W72" s="19">
        <v>0.17</v>
      </c>
    </row>
    <row r="73" spans="21:23" ht="12">
      <c r="U73" s="19">
        <v>0.18</v>
      </c>
      <c r="V73" s="19">
        <v>0.18</v>
      </c>
      <c r="W73" s="19">
        <v>0.18</v>
      </c>
    </row>
    <row r="74" spans="21:23" ht="12">
      <c r="U74" s="19">
        <v>0.19</v>
      </c>
      <c r="V74" s="19">
        <v>0.19</v>
      </c>
      <c r="W74" s="19">
        <v>0.19</v>
      </c>
    </row>
    <row r="75" spans="21:23" ht="12">
      <c r="U75" s="19">
        <v>0.2</v>
      </c>
      <c r="V75" s="19">
        <v>0.2</v>
      </c>
      <c r="W75" s="19">
        <v>0.2</v>
      </c>
    </row>
  </sheetData>
  <sheetProtection/>
  <mergeCells count="9">
    <mergeCell ref="O32:R35"/>
    <mergeCell ref="P2:P3"/>
    <mergeCell ref="Q2:Q3"/>
    <mergeCell ref="R2:R3"/>
    <mergeCell ref="O2:O3"/>
    <mergeCell ref="F17:I32"/>
    <mergeCell ref="L2:L3"/>
    <mergeCell ref="M2:M3"/>
    <mergeCell ref="N2:N3"/>
  </mergeCells>
  <conditionalFormatting sqref="I40:I53 J43:J55 R4:R24">
    <cfRule type="cellIs" priority="1" dxfId="0" operator="lessThan" stopIfTrue="1">
      <formula>0</formula>
    </cfRule>
  </conditionalFormatting>
  <dataValidations count="6">
    <dataValidation type="list" allowBlank="1" showInputMessage="1" showErrorMessage="1" sqref="AB21:AB25 AB13:AB18">
      <formula1>'RHI Calculator'!$T$15:$T$26</formula1>
    </dataValidation>
    <dataValidation type="list" showInputMessage="1" showErrorMessage="1" sqref="D11">
      <formula1>'RHI Calculator'!$V$13:$V$16</formula1>
    </dataValidation>
    <dataValidation type="list" allowBlank="1" showErrorMessage="1" sqref="D21">
      <formula1>'RHI Calculator'!$AB$12:$AB$14</formula1>
    </dataValidation>
    <dataValidation type="list" allowBlank="1" showInputMessage="1" showErrorMessage="1" sqref="H11">
      <formula1>'RHI Calculator'!$U$56:$U$75</formula1>
    </dataValidation>
    <dataValidation type="list" allowBlank="1" showInputMessage="1" showErrorMessage="1" sqref="H13">
      <formula1>'RHI Calculator'!$V$56:$V$75</formula1>
    </dataValidation>
    <dataValidation type="list" allowBlank="1" showInputMessage="1" showErrorMessage="1" sqref="H15">
      <formula1>'RHI Calculator'!$W$56:$W$75</formula1>
    </dataValidation>
  </dataValidations>
  <printOptions/>
  <pageMargins left="0.17" right="0" top="0.1968503937007874" bottom="0.17" header="0" footer="0"/>
  <pageSetup horizontalDpi="600" verticalDpi="600" orientation="landscape" paperSize="9" scale="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1">
      <selection activeCell="K24" sqref="K24"/>
    </sheetView>
  </sheetViews>
  <sheetFormatPr defaultColWidth="8.8515625" defaultRowHeight="12.75"/>
  <cols>
    <col min="1" max="2" width="8.8515625" style="0" customWidth="1"/>
    <col min="3" max="3" width="11.421875" style="0" customWidth="1"/>
    <col min="4" max="7" width="8.8515625" style="0" customWidth="1"/>
    <col min="8" max="9" width="12.421875" style="0" customWidth="1"/>
    <col min="10" max="10" width="8.8515625" style="0" customWidth="1"/>
    <col min="11" max="12" width="11.00390625" style="0" customWidth="1"/>
    <col min="13" max="13" width="12.140625" style="0" customWidth="1"/>
    <col min="14" max="14" width="11.421875" style="0" customWidth="1"/>
  </cols>
  <sheetData>
    <row r="1" spans="1:14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2.5">
      <c r="A2" s="1"/>
      <c r="B2" s="21" t="s">
        <v>43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">
      <c r="A3" s="1"/>
      <c r="B3" s="1"/>
      <c r="C3" s="1"/>
      <c r="D3" s="1"/>
      <c r="E3" s="1"/>
      <c r="F3" s="1"/>
      <c r="G3" s="1"/>
      <c r="H3" s="1"/>
      <c r="I3" s="1"/>
      <c r="J3" s="1"/>
      <c r="K3" s="90"/>
      <c r="L3" s="90"/>
      <c r="M3" s="90"/>
      <c r="N3" s="90"/>
    </row>
    <row r="4" spans="1:14" ht="12">
      <c r="A4" s="1"/>
      <c r="B4" s="1"/>
      <c r="C4" s="1"/>
      <c r="D4" s="1"/>
      <c r="E4" s="1"/>
      <c r="F4" s="1"/>
      <c r="G4" s="1"/>
      <c r="H4" s="1"/>
      <c r="I4" s="1"/>
      <c r="J4" s="1"/>
      <c r="K4" s="90" t="s">
        <v>0</v>
      </c>
      <c r="L4" s="90"/>
      <c r="M4" s="90"/>
      <c r="N4" s="90"/>
    </row>
    <row r="5" spans="1:14" ht="12">
      <c r="A5" s="1"/>
      <c r="B5" s="1"/>
      <c r="C5" s="1"/>
      <c r="D5" s="1"/>
      <c r="E5" s="1"/>
      <c r="F5" s="1"/>
      <c r="G5" s="1"/>
      <c r="H5" s="1"/>
      <c r="I5" s="1"/>
      <c r="J5" s="1"/>
      <c r="K5" s="90"/>
      <c r="L5" s="90"/>
      <c r="M5" s="90"/>
      <c r="N5" s="90"/>
    </row>
    <row r="6" spans="1:14" ht="12.75">
      <c r="A6" s="1"/>
      <c r="B6" s="1"/>
      <c r="C6" s="1"/>
      <c r="D6" s="1"/>
      <c r="E6" s="1"/>
      <c r="F6" s="1"/>
      <c r="G6" s="1"/>
      <c r="H6" s="1"/>
      <c r="I6" s="1"/>
      <c r="J6" s="1"/>
      <c r="K6" s="91" t="s">
        <v>1</v>
      </c>
      <c r="L6" s="90"/>
      <c r="M6" s="90"/>
      <c r="N6" s="90"/>
    </row>
    <row r="7" spans="1:14" ht="13.5">
      <c r="A7" s="1"/>
      <c r="B7" s="1"/>
      <c r="C7" s="1"/>
      <c r="D7" s="1"/>
      <c r="E7" s="1"/>
      <c r="F7" s="1"/>
      <c r="G7" s="1"/>
      <c r="H7" s="1"/>
      <c r="I7" s="1"/>
      <c r="J7" s="1"/>
      <c r="K7" s="92">
        <v>40664</v>
      </c>
      <c r="L7" s="90"/>
      <c r="M7" s="90"/>
      <c r="N7" s="90"/>
    </row>
    <row r="8" spans="1:14" ht="12">
      <c r="A8" s="1"/>
      <c r="B8" s="1"/>
      <c r="C8" s="1"/>
      <c r="D8" s="1"/>
      <c r="E8" s="1"/>
      <c r="F8" s="1"/>
      <c r="G8" s="1"/>
      <c r="H8" s="1"/>
      <c r="I8" s="1"/>
      <c r="J8" s="1"/>
      <c r="K8" s="93" t="s">
        <v>2</v>
      </c>
      <c r="L8" s="93" t="s">
        <v>3</v>
      </c>
      <c r="M8" s="93" t="s">
        <v>4</v>
      </c>
      <c r="N8" s="93" t="s">
        <v>5</v>
      </c>
    </row>
    <row r="9" spans="1:14" ht="12">
      <c r="A9" s="1"/>
      <c r="B9" s="1"/>
      <c r="C9" s="1"/>
      <c r="D9" s="1"/>
      <c r="E9" s="1"/>
      <c r="F9" s="1"/>
      <c r="G9" s="1"/>
      <c r="H9" s="1"/>
      <c r="I9" s="1"/>
      <c r="J9" s="1"/>
      <c r="K9" s="93" t="s">
        <v>6</v>
      </c>
      <c r="L9" s="94">
        <v>12111</v>
      </c>
      <c r="M9" s="94">
        <v>1023</v>
      </c>
      <c r="N9" s="93">
        <v>11.84</v>
      </c>
    </row>
    <row r="10" spans="1:14" ht="12">
      <c r="A10" s="1"/>
      <c r="B10" s="1"/>
      <c r="C10" s="1"/>
      <c r="D10" s="1"/>
      <c r="E10" s="1"/>
      <c r="F10" s="1"/>
      <c r="G10" s="1"/>
      <c r="H10" s="1"/>
      <c r="I10" s="1"/>
      <c r="J10" s="1"/>
      <c r="K10" s="93" t="s">
        <v>7</v>
      </c>
      <c r="L10" s="94">
        <v>13695</v>
      </c>
      <c r="M10" s="93">
        <v>1.968</v>
      </c>
      <c r="N10" s="93">
        <v>6.98</v>
      </c>
    </row>
    <row r="11" spans="1:14" ht="13.5">
      <c r="A11" s="1"/>
      <c r="B11" s="2" t="s">
        <v>8</v>
      </c>
      <c r="C11" s="1"/>
      <c r="D11" s="1"/>
      <c r="E11" s="1"/>
      <c r="F11" s="1"/>
      <c r="G11" s="1"/>
      <c r="H11" s="95" t="s">
        <v>9</v>
      </c>
      <c r="I11" s="3" t="s">
        <v>10</v>
      </c>
      <c r="J11" s="1"/>
      <c r="K11" s="93" t="s">
        <v>11</v>
      </c>
      <c r="L11" s="94">
        <v>12639</v>
      </c>
      <c r="M11" s="94">
        <v>1153</v>
      </c>
      <c r="N11" s="93">
        <v>10.96</v>
      </c>
    </row>
    <row r="12" spans="1:14" ht="13.5">
      <c r="A12" s="1"/>
      <c r="B12" s="4" t="s">
        <v>12</v>
      </c>
      <c r="C12" s="4" t="s">
        <v>13</v>
      </c>
      <c r="D12" s="4"/>
      <c r="E12" s="4"/>
      <c r="F12" s="4" t="s">
        <v>14</v>
      </c>
      <c r="G12" s="5" t="s">
        <v>15</v>
      </c>
      <c r="H12" s="96" t="s">
        <v>16</v>
      </c>
      <c r="I12" s="6" t="s">
        <v>17</v>
      </c>
      <c r="J12" s="1"/>
      <c r="K12" s="93" t="s">
        <v>18</v>
      </c>
      <c r="L12" s="94">
        <v>12833</v>
      </c>
      <c r="M12" s="94">
        <v>1245</v>
      </c>
      <c r="N12" s="93">
        <v>10.31</v>
      </c>
    </row>
    <row r="13" spans="1:14" ht="13.5">
      <c r="A13" s="1"/>
      <c r="B13" s="7" t="s">
        <v>19</v>
      </c>
      <c r="C13" s="7" t="s">
        <v>20</v>
      </c>
      <c r="D13" s="8" t="s">
        <v>21</v>
      </c>
      <c r="E13" s="7" t="s">
        <v>15</v>
      </c>
      <c r="F13" s="7" t="s">
        <v>15</v>
      </c>
      <c r="G13" s="9"/>
      <c r="H13" s="97" t="s">
        <v>22</v>
      </c>
      <c r="I13" s="10" t="s">
        <v>23</v>
      </c>
      <c r="J13" s="1"/>
      <c r="K13" s="93" t="s">
        <v>24</v>
      </c>
      <c r="L13" s="94">
        <v>13083</v>
      </c>
      <c r="M13" s="94">
        <v>1362</v>
      </c>
      <c r="N13" s="93">
        <v>9.61</v>
      </c>
    </row>
    <row r="14" spans="1:14" ht="13.5">
      <c r="A14" s="1"/>
      <c r="B14" s="11" t="s">
        <v>7</v>
      </c>
      <c r="C14" s="12"/>
      <c r="D14" s="13"/>
      <c r="E14" s="12"/>
      <c r="F14" s="14">
        <v>55</v>
      </c>
      <c r="G14" s="11" t="s">
        <v>25</v>
      </c>
      <c r="H14" s="98">
        <v>6.98</v>
      </c>
      <c r="I14" s="15">
        <f>+F14/H14</f>
        <v>7.8796561604584525</v>
      </c>
      <c r="J14" s="1"/>
      <c r="K14" s="93"/>
      <c r="L14" s="93"/>
      <c r="M14" s="93"/>
      <c r="N14" s="93"/>
    </row>
    <row r="15" spans="1:14" ht="13.5">
      <c r="A15" s="1"/>
      <c r="B15" s="11" t="s">
        <v>26</v>
      </c>
      <c r="C15" s="12"/>
      <c r="D15" s="13"/>
      <c r="E15" s="12"/>
      <c r="F15" s="157">
        <v>62</v>
      </c>
      <c r="G15" s="11" t="s">
        <v>25</v>
      </c>
      <c r="H15" s="98">
        <v>10.31</v>
      </c>
      <c r="I15" s="158">
        <f>+F15/H15</f>
        <v>6.013579049466537</v>
      </c>
      <c r="J15" s="1"/>
      <c r="K15" s="1"/>
      <c r="L15" s="1"/>
      <c r="M15" s="1"/>
      <c r="N15" s="1"/>
    </row>
    <row r="16" spans="1:14" ht="13.5">
      <c r="A16" s="1"/>
      <c r="B16" s="11" t="s">
        <v>27</v>
      </c>
      <c r="C16" s="12"/>
      <c r="D16" s="13"/>
      <c r="E16" s="12"/>
      <c r="F16" s="14">
        <v>4.3</v>
      </c>
      <c r="G16" s="11" t="s">
        <v>23</v>
      </c>
      <c r="H16" s="98">
        <v>1</v>
      </c>
      <c r="I16" s="15">
        <f>+F16/H16</f>
        <v>4.3</v>
      </c>
      <c r="J16" s="1"/>
      <c r="K16" s="1"/>
      <c r="L16" s="1"/>
      <c r="M16" s="1"/>
      <c r="N16" s="1"/>
    </row>
    <row r="17" spans="1:14" ht="13.5">
      <c r="A17" s="1"/>
      <c r="B17" s="11" t="s">
        <v>28</v>
      </c>
      <c r="C17" s="12"/>
      <c r="D17" s="13"/>
      <c r="E17" s="12"/>
      <c r="F17" s="14">
        <v>15.2</v>
      </c>
      <c r="G17" s="11" t="s">
        <v>23</v>
      </c>
      <c r="H17" s="98">
        <v>1</v>
      </c>
      <c r="I17" s="15">
        <f>+F17/H17</f>
        <v>15.2</v>
      </c>
      <c r="J17" s="1"/>
      <c r="K17" s="1"/>
      <c r="L17" s="1"/>
      <c r="M17" s="1"/>
      <c r="N17" s="1"/>
    </row>
    <row r="18" spans="1:14" ht="1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3.5">
      <c r="A19" s="22" t="s">
        <v>29</v>
      </c>
      <c r="B19" s="16" t="s">
        <v>30</v>
      </c>
      <c r="C19" s="11"/>
      <c r="D19" s="17" t="s">
        <v>21</v>
      </c>
      <c r="E19" s="16" t="s">
        <v>15</v>
      </c>
      <c r="F19" s="18" t="s">
        <v>31</v>
      </c>
      <c r="G19" s="16" t="s">
        <v>15</v>
      </c>
      <c r="H19" s="98"/>
      <c r="I19" s="15"/>
      <c r="J19" s="1"/>
      <c r="K19" s="1"/>
      <c r="L19" s="1"/>
      <c r="M19" s="1"/>
      <c r="N19" s="1"/>
    </row>
    <row r="20" spans="1:14" ht="13.5">
      <c r="A20" s="22" t="s">
        <v>32</v>
      </c>
      <c r="B20" s="11" t="s">
        <v>33</v>
      </c>
      <c r="C20" s="19">
        <v>0.08</v>
      </c>
      <c r="D20" s="14">
        <v>190</v>
      </c>
      <c r="E20" s="11" t="s">
        <v>34</v>
      </c>
      <c r="F20" s="15">
        <f>+D20/10</f>
        <v>19</v>
      </c>
      <c r="G20" s="20" t="s">
        <v>35</v>
      </c>
      <c r="H20" s="98">
        <v>4.7</v>
      </c>
      <c r="I20" s="15">
        <f>+F20/H20</f>
        <v>4.042553191489362</v>
      </c>
      <c r="J20" s="1"/>
      <c r="K20" s="1"/>
      <c r="L20" s="1"/>
      <c r="M20" s="1"/>
      <c r="N20" s="1"/>
    </row>
    <row r="21" spans="1:14" ht="13.5">
      <c r="A21" s="22" t="s">
        <v>36</v>
      </c>
      <c r="B21" s="11" t="s">
        <v>37</v>
      </c>
      <c r="C21" s="19">
        <v>0.3</v>
      </c>
      <c r="D21" s="14">
        <v>100</v>
      </c>
      <c r="E21" s="11" t="s">
        <v>34</v>
      </c>
      <c r="F21" s="15">
        <f>+D21/10</f>
        <v>10</v>
      </c>
      <c r="G21" s="11" t="s">
        <v>38</v>
      </c>
      <c r="H21" s="98">
        <v>3.71</v>
      </c>
      <c r="I21" s="15">
        <f>+F21/H21</f>
        <v>2.6954177897574123</v>
      </c>
      <c r="J21" s="1"/>
      <c r="K21" s="1"/>
      <c r="L21" s="1"/>
      <c r="M21" s="1"/>
      <c r="N21" s="1"/>
    </row>
    <row r="22" spans="1:14" ht="13.5">
      <c r="A22" s="22" t="s">
        <v>39</v>
      </c>
      <c r="B22" s="11" t="s">
        <v>40</v>
      </c>
      <c r="C22" s="19">
        <v>0.2</v>
      </c>
      <c r="D22" s="14">
        <v>80</v>
      </c>
      <c r="E22" s="11" t="s">
        <v>34</v>
      </c>
      <c r="F22" s="15">
        <f>+D22/10</f>
        <v>8</v>
      </c>
      <c r="G22" s="11" t="s">
        <v>34</v>
      </c>
      <c r="H22" s="98">
        <v>3.9</v>
      </c>
      <c r="I22" s="15">
        <f>+F22/H22</f>
        <v>2.0512820512820515</v>
      </c>
      <c r="J22" s="1"/>
      <c r="K22" s="1"/>
      <c r="L22" s="1"/>
      <c r="M22" s="1"/>
      <c r="N22" s="1"/>
    </row>
    <row r="23" spans="1:14" ht="13.5">
      <c r="A23" s="22" t="s">
        <v>41</v>
      </c>
      <c r="B23" s="99"/>
      <c r="C23" s="100"/>
      <c r="D23" s="101"/>
      <c r="E23" s="99"/>
      <c r="F23" s="102"/>
      <c r="G23" s="99"/>
      <c r="H23" s="102"/>
      <c r="I23" s="102"/>
      <c r="J23" s="1"/>
      <c r="K23" s="1"/>
      <c r="L23" s="1"/>
      <c r="M23" s="1"/>
      <c r="N23" s="1"/>
    </row>
    <row r="24" spans="1:14" ht="13.5">
      <c r="A24" s="22" t="s">
        <v>42</v>
      </c>
      <c r="B24" s="99"/>
      <c r="C24" s="100"/>
      <c r="D24" s="101"/>
      <c r="E24" s="99"/>
      <c r="F24" s="102"/>
      <c r="G24" s="99"/>
      <c r="H24" s="102"/>
      <c r="I24" s="102"/>
      <c r="J24" s="1"/>
      <c r="K24" s="1"/>
      <c r="L24" s="1"/>
      <c r="M24" s="1"/>
      <c r="N24" s="1"/>
    </row>
    <row r="25" spans="1:14" ht="13.5">
      <c r="A25" s="22" t="s">
        <v>42</v>
      </c>
      <c r="B25" s="99"/>
      <c r="C25" s="100"/>
      <c r="D25" s="101"/>
      <c r="E25" s="99"/>
      <c r="F25" s="102"/>
      <c r="G25" s="99"/>
      <c r="H25" s="102"/>
      <c r="I25" s="102"/>
      <c r="J25" s="1"/>
      <c r="K25" s="1"/>
      <c r="L25" s="1"/>
      <c r="M25" s="1"/>
      <c r="N25" s="1"/>
    </row>
    <row r="26" spans="1:14" ht="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sheetProtection/>
  <printOptions/>
  <pageMargins left="0.75" right="0.75" top="1" bottom="1" header="0.5" footer="0.5"/>
  <pageSetup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16">
      <selection activeCell="H25" sqref="H25"/>
    </sheetView>
  </sheetViews>
  <sheetFormatPr defaultColWidth="8.8515625" defaultRowHeight="12.75"/>
  <cols>
    <col min="1" max="2" width="8.8515625" style="0" customWidth="1"/>
    <col min="3" max="3" width="15.00390625" style="0" bestFit="1" customWidth="1"/>
    <col min="4" max="4" width="8.8515625" style="0" customWidth="1"/>
    <col min="5" max="5" width="13.140625" style="0" bestFit="1" customWidth="1"/>
  </cols>
  <sheetData>
    <row r="1" spans="1:12" ht="12">
      <c r="A1" s="58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>
      <c r="A2" s="58"/>
      <c r="B2" s="59" t="s">
        <v>141</v>
      </c>
      <c r="C2" s="59"/>
      <c r="D2" s="59"/>
      <c r="E2" s="1"/>
      <c r="F2" s="1"/>
      <c r="G2" s="1"/>
      <c r="H2" s="1"/>
      <c r="I2" s="1"/>
      <c r="J2" s="1"/>
      <c r="K2" s="1"/>
      <c r="L2" s="1"/>
    </row>
    <row r="3" spans="1:12" ht="12.75" thickBot="1">
      <c r="A3" s="58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">
      <c r="A4" s="58"/>
      <c r="B4" s="60"/>
      <c r="C4" s="61"/>
      <c r="D4" s="61"/>
      <c r="E4" s="61" t="s">
        <v>81</v>
      </c>
      <c r="F4" s="62"/>
      <c r="G4" s="1"/>
      <c r="H4" s="60" t="s">
        <v>82</v>
      </c>
      <c r="I4" s="61"/>
      <c r="J4" s="61"/>
      <c r="K4" s="61"/>
      <c r="L4" s="62"/>
    </row>
    <row r="5" spans="1:12" ht="12">
      <c r="A5" s="58"/>
      <c r="B5" s="63"/>
      <c r="C5" s="57"/>
      <c r="D5" s="57"/>
      <c r="E5" s="57" t="s">
        <v>83</v>
      </c>
      <c r="F5" s="64"/>
      <c r="G5" s="1"/>
      <c r="H5" s="63"/>
      <c r="I5" s="57"/>
      <c r="J5" s="57"/>
      <c r="K5" s="57" t="s">
        <v>84</v>
      </c>
      <c r="L5" s="64"/>
    </row>
    <row r="6" spans="1:12" ht="24">
      <c r="A6" s="58"/>
      <c r="B6" s="65" t="s">
        <v>85</v>
      </c>
      <c r="C6" s="66"/>
      <c r="D6" s="66" t="s">
        <v>84</v>
      </c>
      <c r="E6" s="66" t="s">
        <v>86</v>
      </c>
      <c r="F6" s="64"/>
      <c r="G6" s="1"/>
      <c r="H6" s="63"/>
      <c r="I6" s="57" t="s">
        <v>87</v>
      </c>
      <c r="J6" s="57"/>
      <c r="K6" s="140">
        <f>'fuel calc'!I21</f>
        <v>2.6954177897574123</v>
      </c>
      <c r="L6" s="64"/>
    </row>
    <row r="7" spans="1:12" ht="19.5">
      <c r="A7" s="58"/>
      <c r="B7" s="65">
        <v>1</v>
      </c>
      <c r="C7" s="66" t="s">
        <v>88</v>
      </c>
      <c r="D7" s="136">
        <f>'fuel calc'!I16</f>
        <v>4.3</v>
      </c>
      <c r="E7" s="137">
        <f>carbon!L12/1000</f>
        <v>0.2592</v>
      </c>
      <c r="F7" s="64"/>
      <c r="G7" s="1"/>
      <c r="H7" s="63"/>
      <c r="I7" s="57" t="s">
        <v>89</v>
      </c>
      <c r="J7" s="57"/>
      <c r="K7" s="140">
        <f>'fuel calc'!I20</f>
        <v>4.042553191489362</v>
      </c>
      <c r="L7" s="64"/>
    </row>
    <row r="8" spans="1:12" ht="19.5">
      <c r="A8" s="58"/>
      <c r="B8" s="65">
        <v>2</v>
      </c>
      <c r="C8" s="66" t="s">
        <v>90</v>
      </c>
      <c r="D8" s="136">
        <f>'fuel calc'!I15</f>
        <v>6.013579049466537</v>
      </c>
      <c r="E8" s="138">
        <f>carbon!L11/1000</f>
        <v>0.336</v>
      </c>
      <c r="F8" s="64"/>
      <c r="G8" s="1"/>
      <c r="H8" s="63"/>
      <c r="I8" s="57" t="s">
        <v>40</v>
      </c>
      <c r="J8" s="57"/>
      <c r="K8" s="140">
        <f>'fuel calc'!I22</f>
        <v>2.0512820512820515</v>
      </c>
      <c r="L8" s="64"/>
    </row>
    <row r="9" spans="1:12" ht="19.5">
      <c r="A9" s="58"/>
      <c r="B9" s="65">
        <v>3</v>
      </c>
      <c r="C9" s="66" t="s">
        <v>7</v>
      </c>
      <c r="D9" s="136">
        <f>'fuel calc'!I14</f>
        <v>7.8796561604584525</v>
      </c>
      <c r="E9" s="139">
        <f>carbon!L13/1000</f>
        <v>0.31007999999999997</v>
      </c>
      <c r="F9" s="64"/>
      <c r="G9" s="1"/>
      <c r="H9" s="103"/>
      <c r="I9" s="104"/>
      <c r="J9" s="104"/>
      <c r="K9" s="105"/>
      <c r="L9" s="106"/>
    </row>
    <row r="10" spans="1:12" ht="19.5">
      <c r="A10" s="58"/>
      <c r="B10" s="65">
        <v>4</v>
      </c>
      <c r="C10" s="66" t="s">
        <v>77</v>
      </c>
      <c r="D10" s="136">
        <f>'fuel calc'!I17</f>
        <v>15.2</v>
      </c>
      <c r="E10" s="139">
        <f>carbon!L14/1000</f>
        <v>0.5087999999999999</v>
      </c>
      <c r="F10" s="64"/>
      <c r="G10" s="1"/>
      <c r="H10" s="103"/>
      <c r="I10" s="104"/>
      <c r="J10" s="104"/>
      <c r="K10" s="105"/>
      <c r="L10" s="106"/>
    </row>
    <row r="11" spans="1:12" ht="19.5">
      <c r="A11" s="58"/>
      <c r="B11" s="65"/>
      <c r="C11" s="66"/>
      <c r="D11" s="66"/>
      <c r="E11" s="66"/>
      <c r="F11" s="64"/>
      <c r="G11" s="1"/>
      <c r="H11" s="103"/>
      <c r="I11" s="104"/>
      <c r="J11" s="104"/>
      <c r="K11" s="105"/>
      <c r="L11" s="106"/>
    </row>
    <row r="12" spans="1:12" ht="21" thickBot="1">
      <c r="A12" s="58"/>
      <c r="B12" s="67" t="s">
        <v>91</v>
      </c>
      <c r="C12" s="68"/>
      <c r="D12" s="68"/>
      <c r="E12" s="68"/>
      <c r="F12" s="69"/>
      <c r="G12" s="1"/>
      <c r="H12" s="70"/>
      <c r="I12" s="71"/>
      <c r="J12" s="71"/>
      <c r="K12" s="71"/>
      <c r="L12" s="69"/>
    </row>
    <row r="13" spans="1:12" ht="19.5">
      <c r="A13" s="58"/>
      <c r="B13" s="72"/>
      <c r="C13" s="72"/>
      <c r="D13" s="72"/>
      <c r="E13" s="72"/>
      <c r="F13" s="1"/>
      <c r="G13" s="1"/>
      <c r="H13" s="1"/>
      <c r="I13" s="1"/>
      <c r="J13" s="1"/>
      <c r="K13" s="1"/>
      <c r="L13" s="1"/>
    </row>
    <row r="14" spans="1:12" ht="19.5">
      <c r="A14" s="58"/>
      <c r="B14" s="72"/>
      <c r="C14" s="72"/>
      <c r="D14" s="72"/>
      <c r="E14" s="72"/>
      <c r="F14" s="1"/>
      <c r="G14" s="1"/>
      <c r="H14" s="1"/>
      <c r="I14" s="1"/>
      <c r="J14" s="1"/>
      <c r="K14" s="1"/>
      <c r="L14" s="1"/>
    </row>
    <row r="15" spans="1:12" ht="12">
      <c r="A15" s="5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2">
      <c r="A16" s="5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2">
      <c r="A17" s="5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2">
      <c r="A18" s="5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2">
      <c r="A19" s="5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" thickBot="1">
      <c r="A20" s="73" t="s">
        <v>92</v>
      </c>
      <c r="B20" s="1"/>
      <c r="C20" s="1"/>
      <c r="D20" s="1"/>
      <c r="E20" s="1"/>
      <c r="F20" s="1"/>
      <c r="G20" s="1"/>
      <c r="H20" s="2" t="s">
        <v>93</v>
      </c>
      <c r="I20" s="1"/>
      <c r="J20" s="1"/>
      <c r="K20" s="1"/>
      <c r="L20" s="1"/>
    </row>
    <row r="21" spans="1:12" ht="12">
      <c r="A21" s="74"/>
      <c r="B21" s="75"/>
      <c r="C21" s="75"/>
      <c r="D21" s="61"/>
      <c r="E21" s="62"/>
      <c r="F21" s="1"/>
      <c r="G21" s="1"/>
      <c r="H21" s="60"/>
      <c r="I21" s="61"/>
      <c r="J21" s="75" t="s">
        <v>94</v>
      </c>
      <c r="K21" s="61"/>
      <c r="L21" s="62" t="s">
        <v>94</v>
      </c>
    </row>
    <row r="22" spans="1:12" ht="12">
      <c r="A22" s="76" t="s">
        <v>45</v>
      </c>
      <c r="B22" s="77" t="s">
        <v>95</v>
      </c>
      <c r="C22" s="77" t="s">
        <v>96</v>
      </c>
      <c r="D22" s="57"/>
      <c r="E22" s="64"/>
      <c r="F22" s="1"/>
      <c r="G22" s="1"/>
      <c r="H22" s="63" t="s">
        <v>97</v>
      </c>
      <c r="I22" s="57"/>
      <c r="J22" s="77" t="s">
        <v>97</v>
      </c>
      <c r="K22" s="57"/>
      <c r="L22" s="64" t="s">
        <v>97</v>
      </c>
    </row>
    <row r="23" spans="1:12" ht="12">
      <c r="A23" s="76"/>
      <c r="B23" s="77" t="s">
        <v>22</v>
      </c>
      <c r="C23" s="77" t="s">
        <v>98</v>
      </c>
      <c r="D23" s="57"/>
      <c r="E23" s="64" t="s">
        <v>99</v>
      </c>
      <c r="F23" s="1"/>
      <c r="G23" s="1"/>
      <c r="H23" s="63" t="s">
        <v>100</v>
      </c>
      <c r="I23" s="57"/>
      <c r="J23" s="77" t="s">
        <v>100</v>
      </c>
      <c r="K23" s="57"/>
      <c r="L23" s="64" t="s">
        <v>100</v>
      </c>
    </row>
    <row r="24" spans="1:12" ht="12.75" thickBot="1">
      <c r="A24" s="78"/>
      <c r="B24" s="79"/>
      <c r="C24" s="79"/>
      <c r="D24" s="71"/>
      <c r="E24" s="69" t="s">
        <v>22</v>
      </c>
      <c r="F24" s="1"/>
      <c r="G24" s="1"/>
      <c r="H24" s="70" t="s">
        <v>101</v>
      </c>
      <c r="I24" s="71"/>
      <c r="J24" s="79" t="s">
        <v>102</v>
      </c>
      <c r="K24" s="71"/>
      <c r="L24" s="69" t="s">
        <v>103</v>
      </c>
    </row>
    <row r="25" spans="1:12" ht="13.5">
      <c r="A25" s="76">
        <v>1</v>
      </c>
      <c r="B25" s="80"/>
      <c r="C25" s="81">
        <f>+B25</f>
        <v>0</v>
      </c>
      <c r="D25" s="57"/>
      <c r="E25" s="64" t="e">
        <f>1/C25</f>
        <v>#DIV/0!</v>
      </c>
      <c r="F25" s="1"/>
      <c r="G25" s="1"/>
      <c r="H25" s="82" t="e">
        <f>1+'[2]Calc sheet'!$K$17</f>
        <v>#REF!</v>
      </c>
      <c r="I25" s="57"/>
      <c r="J25" s="83">
        <f>1+'[1]Calc sheet'!$E$14</f>
        <v>1.03</v>
      </c>
      <c r="K25" s="57"/>
      <c r="L25" s="84">
        <f>1+'[1]Calc sheet'!$K$14</f>
        <v>1.05</v>
      </c>
    </row>
    <row r="26" spans="1:12" ht="13.5">
      <c r="A26" s="76">
        <v>2</v>
      </c>
      <c r="B26" s="83">
        <f>+B25</f>
        <v>0</v>
      </c>
      <c r="C26" s="85">
        <f>+B26*B25</f>
        <v>0</v>
      </c>
      <c r="D26" s="57"/>
      <c r="E26" s="64" t="e">
        <f>1/C26</f>
        <v>#DIV/0!</v>
      </c>
      <c r="F26" s="1"/>
      <c r="G26" s="1"/>
      <c r="H26" s="82" t="e">
        <f>(1+'[1]Calc sheet'!$K$17)*H25</f>
        <v>#REF!</v>
      </c>
      <c r="I26" s="57"/>
      <c r="J26" s="83">
        <f>(1+'[1]Calc sheet'!$E$14)*J25</f>
        <v>1.0609</v>
      </c>
      <c r="K26" s="57"/>
      <c r="L26" s="84">
        <f>(1+'[1]Calc sheet'!$K$14)*L25</f>
        <v>1.1025</v>
      </c>
    </row>
    <row r="27" spans="1:12" ht="13.5">
      <c r="A27" s="76">
        <v>3</v>
      </c>
      <c r="B27" s="83">
        <f aca="true" t="shared" si="0" ref="B27:B44">+B26</f>
        <v>0</v>
      </c>
      <c r="C27" s="85">
        <f>+B27*C26</f>
        <v>0</v>
      </c>
      <c r="D27" s="57"/>
      <c r="E27" s="64" t="e">
        <f aca="true" t="shared" si="1" ref="E27:E39">1/C27</f>
        <v>#DIV/0!</v>
      </c>
      <c r="F27" s="1"/>
      <c r="G27" s="1"/>
      <c r="H27" s="82" t="e">
        <f>(1+'[1]Calc sheet'!$K$17)*H26</f>
        <v>#REF!</v>
      </c>
      <c r="I27" s="57"/>
      <c r="J27" s="83">
        <f>(1+'[1]Calc sheet'!$E$14)*J26</f>
        <v>1.092727</v>
      </c>
      <c r="K27" s="57"/>
      <c r="L27" s="84">
        <f>(1+'[1]Calc sheet'!$K$14)*L26</f>
        <v>1.1576250000000001</v>
      </c>
    </row>
    <row r="28" spans="1:12" ht="13.5">
      <c r="A28" s="76">
        <v>4</v>
      </c>
      <c r="B28" s="83">
        <f t="shared" si="0"/>
        <v>0</v>
      </c>
      <c r="C28" s="85">
        <f aca="true" t="shared" si="2" ref="C28:C39">+C27*B28</f>
        <v>0</v>
      </c>
      <c r="D28" s="57"/>
      <c r="E28" s="64" t="e">
        <f t="shared" si="1"/>
        <v>#DIV/0!</v>
      </c>
      <c r="F28" s="1"/>
      <c r="G28" s="1"/>
      <c r="H28" s="82" t="e">
        <f>(1+'[1]Calc sheet'!$K$17)*H27</f>
        <v>#REF!</v>
      </c>
      <c r="I28" s="57"/>
      <c r="J28" s="83">
        <f>(1+'[1]Calc sheet'!$E$14)*J27</f>
        <v>1.1255088100000001</v>
      </c>
      <c r="K28" s="57"/>
      <c r="L28" s="84">
        <f>(1+'[1]Calc sheet'!$K$14)*L27</f>
        <v>1.2155062500000002</v>
      </c>
    </row>
    <row r="29" spans="1:12" ht="13.5">
      <c r="A29" s="76">
        <v>5</v>
      </c>
      <c r="B29" s="83">
        <f>+B28</f>
        <v>0</v>
      </c>
      <c r="C29" s="85">
        <f t="shared" si="2"/>
        <v>0</v>
      </c>
      <c r="D29" s="57"/>
      <c r="E29" s="64" t="e">
        <f t="shared" si="1"/>
        <v>#DIV/0!</v>
      </c>
      <c r="F29" s="1"/>
      <c r="G29" s="1"/>
      <c r="H29" s="82" t="e">
        <f>(1+'[1]Calc sheet'!$K$17)*H28</f>
        <v>#REF!</v>
      </c>
      <c r="I29" s="57"/>
      <c r="J29" s="83">
        <f>(1+'[1]Calc sheet'!$E$14)*J28</f>
        <v>1.1592740743</v>
      </c>
      <c r="K29" s="57"/>
      <c r="L29" s="84">
        <f>(1+'[1]Calc sheet'!$K$14)*L28</f>
        <v>1.2762815625000004</v>
      </c>
    </row>
    <row r="30" spans="1:12" ht="13.5">
      <c r="A30" s="76">
        <v>6</v>
      </c>
      <c r="B30" s="83">
        <f>+B29</f>
        <v>0</v>
      </c>
      <c r="C30" s="85">
        <f t="shared" si="2"/>
        <v>0</v>
      </c>
      <c r="D30" s="57"/>
      <c r="E30" s="64" t="e">
        <f t="shared" si="1"/>
        <v>#DIV/0!</v>
      </c>
      <c r="F30" s="1"/>
      <c r="G30" s="1"/>
      <c r="H30" s="82" t="e">
        <f>(1+'[1]Calc sheet'!$K$17)*H29</f>
        <v>#REF!</v>
      </c>
      <c r="I30" s="57"/>
      <c r="J30" s="83">
        <f>(1+'[1]Calc sheet'!$E$14)*J29</f>
        <v>1.1940522965290001</v>
      </c>
      <c r="K30" s="57"/>
      <c r="L30" s="84">
        <f>(1+'[1]Calc sheet'!$K$14)*L29</f>
        <v>1.3400956406250004</v>
      </c>
    </row>
    <row r="31" spans="1:12" ht="13.5">
      <c r="A31" s="76">
        <v>7</v>
      </c>
      <c r="B31" s="83">
        <f t="shared" si="0"/>
        <v>0</v>
      </c>
      <c r="C31" s="85">
        <f t="shared" si="2"/>
        <v>0</v>
      </c>
      <c r="D31" s="57"/>
      <c r="E31" s="64" t="e">
        <f t="shared" si="1"/>
        <v>#DIV/0!</v>
      </c>
      <c r="F31" s="1"/>
      <c r="G31" s="1"/>
      <c r="H31" s="82" t="e">
        <f>(1+'[1]Calc sheet'!$K$17)*H30</f>
        <v>#REF!</v>
      </c>
      <c r="I31" s="57"/>
      <c r="J31" s="83">
        <f>(1+'[1]Calc sheet'!$E$14)*J30</f>
        <v>1.2298738654248702</v>
      </c>
      <c r="K31" s="57"/>
      <c r="L31" s="84">
        <f>(1+'[1]Calc sheet'!$K$14)*L30</f>
        <v>1.4071004226562505</v>
      </c>
    </row>
    <row r="32" spans="1:12" ht="13.5">
      <c r="A32" s="76">
        <v>8</v>
      </c>
      <c r="B32" s="83">
        <f t="shared" si="0"/>
        <v>0</v>
      </c>
      <c r="C32" s="85">
        <f t="shared" si="2"/>
        <v>0</v>
      </c>
      <c r="D32" s="57"/>
      <c r="E32" s="64" t="e">
        <f t="shared" si="1"/>
        <v>#DIV/0!</v>
      </c>
      <c r="F32" s="1"/>
      <c r="G32" s="1"/>
      <c r="H32" s="82" t="e">
        <f>(1+'[1]Calc sheet'!$K$17)*H31</f>
        <v>#REF!</v>
      </c>
      <c r="I32" s="57"/>
      <c r="J32" s="83">
        <f>(1+'[1]Calc sheet'!$E$14)*J31</f>
        <v>1.2667700813876164</v>
      </c>
      <c r="K32" s="57"/>
      <c r="L32" s="84">
        <f>(1+'[1]Calc sheet'!$K$14)*L31</f>
        <v>1.477455443789063</v>
      </c>
    </row>
    <row r="33" spans="1:12" ht="13.5">
      <c r="A33" s="76">
        <v>9</v>
      </c>
      <c r="B33" s="83">
        <f t="shared" si="0"/>
        <v>0</v>
      </c>
      <c r="C33" s="85">
        <f t="shared" si="2"/>
        <v>0</v>
      </c>
      <c r="D33" s="57"/>
      <c r="E33" s="64" t="e">
        <f t="shared" si="1"/>
        <v>#DIV/0!</v>
      </c>
      <c r="F33" s="1"/>
      <c r="G33" s="1"/>
      <c r="H33" s="82" t="e">
        <f>(1+'[1]Calc sheet'!$K$17)*H32</f>
        <v>#REF!</v>
      </c>
      <c r="I33" s="57"/>
      <c r="J33" s="83">
        <f>(1+'[1]Calc sheet'!$E$14)*J32</f>
        <v>1.304773183829245</v>
      </c>
      <c r="K33" s="57"/>
      <c r="L33" s="84">
        <f>(1+'[1]Calc sheet'!$K$14)*L32</f>
        <v>1.5513282159785162</v>
      </c>
    </row>
    <row r="34" spans="1:12" ht="13.5">
      <c r="A34" s="76">
        <v>10</v>
      </c>
      <c r="B34" s="83">
        <f t="shared" si="0"/>
        <v>0</v>
      </c>
      <c r="C34" s="85">
        <f t="shared" si="2"/>
        <v>0</v>
      </c>
      <c r="D34" s="57"/>
      <c r="E34" s="64" t="e">
        <f t="shared" si="1"/>
        <v>#DIV/0!</v>
      </c>
      <c r="F34" s="1"/>
      <c r="G34" s="1"/>
      <c r="H34" s="82" t="e">
        <f>(1+'[1]Calc sheet'!$K$17)*H33</f>
        <v>#REF!</v>
      </c>
      <c r="I34" s="57"/>
      <c r="J34" s="83">
        <f>(1+'[1]Calc sheet'!$E$14)*J33</f>
        <v>1.3439163793441222</v>
      </c>
      <c r="K34" s="57"/>
      <c r="L34" s="84">
        <f>(1+'[1]Calc sheet'!$K$14)*L33</f>
        <v>1.628894626777442</v>
      </c>
    </row>
    <row r="35" spans="1:12" ht="13.5">
      <c r="A35" s="76">
        <v>11</v>
      </c>
      <c r="B35" s="83">
        <f t="shared" si="0"/>
        <v>0</v>
      </c>
      <c r="C35" s="85">
        <f t="shared" si="2"/>
        <v>0</v>
      </c>
      <c r="D35" s="57"/>
      <c r="E35" s="64" t="e">
        <f t="shared" si="1"/>
        <v>#DIV/0!</v>
      </c>
      <c r="F35" s="1"/>
      <c r="G35" s="1"/>
      <c r="H35" s="82" t="e">
        <f>(1+'[1]Calc sheet'!$K$17)*H34</f>
        <v>#REF!</v>
      </c>
      <c r="I35" s="57"/>
      <c r="J35" s="83">
        <f>(1+'[1]Calc sheet'!$E$14)*J34</f>
        <v>1.384233870724446</v>
      </c>
      <c r="K35" s="57"/>
      <c r="L35" s="84">
        <f>(1+'[1]Calc sheet'!$K$14)*L34</f>
        <v>1.7103393581163142</v>
      </c>
    </row>
    <row r="36" spans="1:12" ht="13.5">
      <c r="A36" s="76">
        <v>12</v>
      </c>
      <c r="B36" s="83">
        <f t="shared" si="0"/>
        <v>0</v>
      </c>
      <c r="C36" s="85">
        <f t="shared" si="2"/>
        <v>0</v>
      </c>
      <c r="D36" s="57"/>
      <c r="E36" s="64" t="e">
        <f t="shared" si="1"/>
        <v>#DIV/0!</v>
      </c>
      <c r="F36" s="1"/>
      <c r="G36" s="1"/>
      <c r="H36" s="82" t="e">
        <f>(1+'[1]Calc sheet'!$K$17)*H35</f>
        <v>#REF!</v>
      </c>
      <c r="I36" s="57"/>
      <c r="J36" s="83">
        <f>(1+'[1]Calc sheet'!$E$14)*J35</f>
        <v>1.4257608868461793</v>
      </c>
      <c r="K36" s="57"/>
      <c r="L36" s="84">
        <f>(1+'[1]Calc sheet'!$K$14)*L35</f>
        <v>1.79585632602213</v>
      </c>
    </row>
    <row r="37" spans="1:12" ht="13.5">
      <c r="A37" s="76">
        <v>13</v>
      </c>
      <c r="B37" s="83">
        <f t="shared" si="0"/>
        <v>0</v>
      </c>
      <c r="C37" s="85">
        <f t="shared" si="2"/>
        <v>0</v>
      </c>
      <c r="D37" s="57"/>
      <c r="E37" s="64" t="e">
        <f t="shared" si="1"/>
        <v>#DIV/0!</v>
      </c>
      <c r="F37" s="1"/>
      <c r="G37" s="1"/>
      <c r="H37" s="82" t="e">
        <f>(1+'[1]Calc sheet'!$K$17)*H36</f>
        <v>#REF!</v>
      </c>
      <c r="I37" s="57"/>
      <c r="J37" s="83">
        <f>(1+'[1]Calc sheet'!$E$14)*J36</f>
        <v>1.4685337134515648</v>
      </c>
      <c r="K37" s="57"/>
      <c r="L37" s="84">
        <f>(1+'[1]Calc sheet'!$K$14)*L36</f>
        <v>1.8856491423232367</v>
      </c>
    </row>
    <row r="38" spans="1:12" ht="13.5">
      <c r="A38" s="76">
        <v>14</v>
      </c>
      <c r="B38" s="83">
        <f t="shared" si="0"/>
        <v>0</v>
      </c>
      <c r="C38" s="85">
        <f t="shared" si="2"/>
        <v>0</v>
      </c>
      <c r="D38" s="57"/>
      <c r="E38" s="64" t="e">
        <f t="shared" si="1"/>
        <v>#DIV/0!</v>
      </c>
      <c r="F38" s="1"/>
      <c r="G38" s="1"/>
      <c r="H38" s="82" t="e">
        <f>(1+'[1]Calc sheet'!$K$17)*H37</f>
        <v>#REF!</v>
      </c>
      <c r="I38" s="57"/>
      <c r="J38" s="83">
        <f>(1+'[1]Calc sheet'!$E$14)*J37</f>
        <v>1.512589724855112</v>
      </c>
      <c r="K38" s="57"/>
      <c r="L38" s="84">
        <f>(1+'[1]Calc sheet'!$K$14)*L37</f>
        <v>1.9799315994393987</v>
      </c>
    </row>
    <row r="39" spans="1:12" ht="13.5">
      <c r="A39" s="76">
        <v>15</v>
      </c>
      <c r="B39" s="83">
        <f t="shared" si="0"/>
        <v>0</v>
      </c>
      <c r="C39" s="85">
        <f t="shared" si="2"/>
        <v>0</v>
      </c>
      <c r="D39" s="57"/>
      <c r="E39" s="64" t="e">
        <f t="shared" si="1"/>
        <v>#DIV/0!</v>
      </c>
      <c r="F39" s="1"/>
      <c r="G39" s="1"/>
      <c r="H39" s="82" t="e">
        <f>(1+'[1]Calc sheet'!$K$17)*H38</f>
        <v>#REF!</v>
      </c>
      <c r="I39" s="57"/>
      <c r="J39" s="83">
        <f>(1+'[1]Calc sheet'!$E$14)*J38</f>
        <v>1.5579674166007653</v>
      </c>
      <c r="K39" s="57"/>
      <c r="L39" s="84">
        <f>(1+'[1]Calc sheet'!$K$14)*L38</f>
        <v>2.0789281794113688</v>
      </c>
    </row>
    <row r="40" spans="1:12" ht="13.5">
      <c r="A40" s="76">
        <v>16</v>
      </c>
      <c r="B40" s="83">
        <f t="shared" si="0"/>
        <v>0</v>
      </c>
      <c r="C40" s="85">
        <f>+C39*B40</f>
        <v>0</v>
      </c>
      <c r="D40" s="57"/>
      <c r="E40" s="64" t="e">
        <f>1/C40</f>
        <v>#DIV/0!</v>
      </c>
      <c r="F40" s="1"/>
      <c r="G40" s="1"/>
      <c r="H40" s="82" t="e">
        <f>(1+'[1]Calc sheet'!$K$17)*H39</f>
        <v>#REF!</v>
      </c>
      <c r="I40" s="57"/>
      <c r="J40" s="83">
        <f>(1+'[1]Calc sheet'!$E$14)*J39</f>
        <v>1.6047064390987884</v>
      </c>
      <c r="K40" s="57"/>
      <c r="L40" s="84">
        <f>(1+'[1]Calc sheet'!$K$14)*L39</f>
        <v>2.1828745883819374</v>
      </c>
    </row>
    <row r="41" spans="1:12" ht="13.5">
      <c r="A41" s="76">
        <v>17</v>
      </c>
      <c r="B41" s="83">
        <f t="shared" si="0"/>
        <v>0</v>
      </c>
      <c r="C41" s="85">
        <f>+C40*B41</f>
        <v>0</v>
      </c>
      <c r="D41" s="57"/>
      <c r="E41" s="64" t="e">
        <f>1/C41</f>
        <v>#DIV/0!</v>
      </c>
      <c r="F41" s="1"/>
      <c r="G41" s="1"/>
      <c r="H41" s="82" t="e">
        <f>(1+'[1]Calc sheet'!$K$17)*H40</f>
        <v>#REF!</v>
      </c>
      <c r="I41" s="57"/>
      <c r="J41" s="83">
        <f>(1+'[1]Calc sheet'!$E$14)*J40</f>
        <v>1.652847632271752</v>
      </c>
      <c r="K41" s="57"/>
      <c r="L41" s="84">
        <f>(1+'[1]Calc sheet'!$K$14)*L40</f>
        <v>2.2920183178010345</v>
      </c>
    </row>
    <row r="42" spans="1:12" ht="13.5">
      <c r="A42" s="76">
        <v>18</v>
      </c>
      <c r="B42" s="83">
        <f t="shared" si="0"/>
        <v>0</v>
      </c>
      <c r="C42" s="85">
        <f>+C41*B42</f>
        <v>0</v>
      </c>
      <c r="D42" s="57"/>
      <c r="E42" s="64" t="e">
        <f>1/C42</f>
        <v>#DIV/0!</v>
      </c>
      <c r="F42" s="1"/>
      <c r="G42" s="1"/>
      <c r="H42" s="82" t="e">
        <f>(1+'[1]Calc sheet'!$K$17)*H41</f>
        <v>#REF!</v>
      </c>
      <c r="I42" s="57"/>
      <c r="J42" s="83">
        <f>(1+'[1]Calc sheet'!$E$14)*J41</f>
        <v>1.7024330612399046</v>
      </c>
      <c r="K42" s="57"/>
      <c r="L42" s="84">
        <f>(1+'[1]Calc sheet'!$K$14)*L41</f>
        <v>2.406619233691086</v>
      </c>
    </row>
    <row r="43" spans="1:12" ht="13.5">
      <c r="A43" s="76">
        <v>19</v>
      </c>
      <c r="B43" s="83">
        <f t="shared" si="0"/>
        <v>0</v>
      </c>
      <c r="C43" s="85">
        <f>+C42*B43</f>
        <v>0</v>
      </c>
      <c r="D43" s="57"/>
      <c r="E43" s="64" t="e">
        <f>1/C43</f>
        <v>#DIV/0!</v>
      </c>
      <c r="F43" s="1"/>
      <c r="G43" s="1"/>
      <c r="H43" s="82" t="e">
        <f>(1+'[1]Calc sheet'!$K$17)*H42</f>
        <v>#REF!</v>
      </c>
      <c r="I43" s="57"/>
      <c r="J43" s="83">
        <f>(1+'[1]Calc sheet'!$E$14)*J42</f>
        <v>1.7535060530771018</v>
      </c>
      <c r="K43" s="57"/>
      <c r="L43" s="84">
        <f>(1+'[1]Calc sheet'!$K$14)*L42</f>
        <v>2.5269501953756404</v>
      </c>
    </row>
    <row r="44" spans="1:12" ht="15" thickBot="1">
      <c r="A44" s="78">
        <v>20</v>
      </c>
      <c r="B44" s="86">
        <f t="shared" si="0"/>
        <v>0</v>
      </c>
      <c r="C44" s="87">
        <f>+C43*B44</f>
        <v>0</v>
      </c>
      <c r="D44" s="71"/>
      <c r="E44" s="69" t="e">
        <f>1/C44</f>
        <v>#DIV/0!</v>
      </c>
      <c r="F44" s="1"/>
      <c r="G44" s="1"/>
      <c r="H44" s="88" t="e">
        <f>(1+'[1]Calc sheet'!$K$17)*H43</f>
        <v>#REF!</v>
      </c>
      <c r="I44" s="71"/>
      <c r="J44" s="86">
        <f>(1+'[1]Calc sheet'!$E$14)*J43</f>
        <v>1.806111234669415</v>
      </c>
      <c r="K44" s="71"/>
      <c r="L44" s="89">
        <f>(1+'[1]Calc sheet'!$K$14)*L43</f>
        <v>2.6532977051444226</v>
      </c>
    </row>
    <row r="45" spans="1:12" ht="12">
      <c r="A45" s="5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</sheetData>
  <sheetProtection/>
  <dataValidations count="1">
    <dataValidation type="list" allowBlank="1" showInputMessage="1" showErrorMessage="1" sqref="I15:I19 I7:I12">
      <formula1>'data sheet'!$T$9:$T$20</formula1>
    </dataValidation>
  </dataValidations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B1:L27"/>
  <sheetViews>
    <sheetView workbookViewId="0" topLeftCell="A4">
      <selection activeCell="K11" sqref="K11"/>
    </sheetView>
  </sheetViews>
  <sheetFormatPr defaultColWidth="9.140625" defaultRowHeight="12.75"/>
  <cols>
    <col min="1" max="1" width="9.140625" style="1" customWidth="1"/>
    <col min="2" max="2" width="23.8515625" style="1" customWidth="1"/>
    <col min="3" max="6" width="7.8515625" style="1" customWidth="1"/>
    <col min="7" max="7" width="11.421875" style="1" bestFit="1" customWidth="1"/>
    <col min="8" max="8" width="10.421875" style="1" bestFit="1" customWidth="1"/>
    <col min="9" max="9" width="8.421875" style="1" customWidth="1"/>
    <col min="10" max="10" width="10.8515625" style="1" customWidth="1"/>
    <col min="11" max="16384" width="9.140625" style="1" customWidth="1"/>
  </cols>
  <sheetData>
    <row r="1" ht="19.5">
      <c r="B1" s="107" t="s">
        <v>104</v>
      </c>
    </row>
    <row r="2" spans="3:10" ht="13.5">
      <c r="C2" s="2"/>
      <c r="D2" s="2"/>
      <c r="E2" s="2"/>
      <c r="F2" s="2"/>
      <c r="G2" s="2"/>
      <c r="H2" s="2"/>
      <c r="I2" s="2"/>
      <c r="J2" s="2"/>
    </row>
    <row r="3" spans="2:6" ht="34.5" customHeight="1">
      <c r="B3" s="123" t="s">
        <v>105</v>
      </c>
      <c r="F3" s="1" t="s">
        <v>106</v>
      </c>
    </row>
    <row r="4" spans="2:10" ht="12.75">
      <c r="B4" s="269" t="s">
        <v>107</v>
      </c>
      <c r="C4" s="269"/>
      <c r="D4" s="269"/>
      <c r="E4" s="269"/>
      <c r="F4" s="269"/>
      <c r="G4" s="269"/>
      <c r="H4" s="269"/>
      <c r="I4" s="269"/>
      <c r="J4" s="270"/>
    </row>
    <row r="5" spans="2:10" ht="15" customHeight="1">
      <c r="B5" s="271" t="s">
        <v>108</v>
      </c>
      <c r="C5" s="271"/>
      <c r="D5" s="271"/>
      <c r="E5" s="271"/>
      <c r="F5" s="271"/>
      <c r="G5" s="271"/>
      <c r="H5" s="271"/>
      <c r="I5" s="271"/>
      <c r="J5" s="90"/>
    </row>
    <row r="6" spans="2:10" ht="48" customHeight="1" thickBot="1">
      <c r="B6" s="272" t="s">
        <v>109</v>
      </c>
      <c r="C6" s="272"/>
      <c r="D6" s="272"/>
      <c r="E6" s="272"/>
      <c r="F6" s="272"/>
      <c r="G6" s="272"/>
      <c r="H6" s="272"/>
      <c r="I6" s="272"/>
      <c r="J6" s="90"/>
    </row>
    <row r="7" spans="2:12" ht="59.25" customHeight="1" thickTop="1">
      <c r="B7" s="273" t="s">
        <v>94</v>
      </c>
      <c r="C7" s="276" t="s">
        <v>110</v>
      </c>
      <c r="D7" s="276" t="s">
        <v>111</v>
      </c>
      <c r="E7" s="279" t="s">
        <v>112</v>
      </c>
      <c r="F7" s="280"/>
      <c r="G7" s="279" t="s">
        <v>113</v>
      </c>
      <c r="H7" s="281"/>
      <c r="I7" s="282"/>
      <c r="J7" s="134"/>
      <c r="K7" s="60"/>
      <c r="L7" s="131">
        <v>0.96</v>
      </c>
    </row>
    <row r="8" spans="2:12" ht="24.75" thickBot="1">
      <c r="B8" s="274"/>
      <c r="C8" s="277"/>
      <c r="D8" s="277"/>
      <c r="E8" s="283" t="s">
        <v>114</v>
      </c>
      <c r="F8" s="284"/>
      <c r="G8" s="283" t="s">
        <v>115</v>
      </c>
      <c r="H8" s="285"/>
      <c r="I8" s="286"/>
      <c r="J8" s="134"/>
      <c r="K8" s="63"/>
      <c r="L8" s="132" t="s">
        <v>116</v>
      </c>
    </row>
    <row r="9" spans="2:12" ht="60.75" thickBot="1">
      <c r="B9" s="275"/>
      <c r="C9" s="278"/>
      <c r="D9" s="278"/>
      <c r="E9" s="129" t="s">
        <v>117</v>
      </c>
      <c r="F9" s="129" t="s">
        <v>118</v>
      </c>
      <c r="G9" s="129" t="s">
        <v>38</v>
      </c>
      <c r="H9" s="129" t="s">
        <v>119</v>
      </c>
      <c r="I9" s="130" t="s">
        <v>120</v>
      </c>
      <c r="J9" s="134" t="s">
        <v>121</v>
      </c>
      <c r="K9" s="133" t="s">
        <v>122</v>
      </c>
      <c r="L9" s="132" t="s">
        <v>122</v>
      </c>
    </row>
    <row r="10" spans="2:12" ht="23.25" customHeight="1" thickBot="1">
      <c r="B10" s="126" t="s">
        <v>123</v>
      </c>
      <c r="C10" s="108">
        <v>29</v>
      </c>
      <c r="D10" s="108">
        <v>75</v>
      </c>
      <c r="E10" s="135">
        <v>134</v>
      </c>
      <c r="F10" s="135">
        <v>484</v>
      </c>
      <c r="G10" s="108">
        <v>9680</v>
      </c>
      <c r="H10" s="108">
        <v>-2680</v>
      </c>
      <c r="I10" s="109">
        <v>-4280</v>
      </c>
      <c r="J10" s="134">
        <f>+G10/20000</f>
        <v>0.484</v>
      </c>
      <c r="K10" s="63">
        <f>+J10*1000</f>
        <v>484</v>
      </c>
      <c r="L10" s="110">
        <f>+K10*0.96</f>
        <v>464.64</v>
      </c>
    </row>
    <row r="11" spans="2:12" ht="15" thickBot="1">
      <c r="B11" s="126" t="s">
        <v>55</v>
      </c>
      <c r="C11" s="108">
        <v>42</v>
      </c>
      <c r="D11" s="108">
        <v>85</v>
      </c>
      <c r="E11" s="135">
        <v>97</v>
      </c>
      <c r="F11" s="135">
        <v>350</v>
      </c>
      <c r="G11" s="108">
        <v>7000</v>
      </c>
      <c r="H11" s="108">
        <v>0</v>
      </c>
      <c r="I11" s="109">
        <v>-1600</v>
      </c>
      <c r="J11" s="159">
        <f aca="true" t="shared" si="0" ref="J11:J25">+G11/20000</f>
        <v>0.35</v>
      </c>
      <c r="K11" s="63">
        <f>+J11*1000</f>
        <v>350</v>
      </c>
      <c r="L11" s="110">
        <f>+K11*0.96</f>
        <v>336</v>
      </c>
    </row>
    <row r="12" spans="2:12" ht="23.25" customHeight="1" thickBot="1">
      <c r="B12" s="126" t="s">
        <v>124</v>
      </c>
      <c r="C12" s="108">
        <v>38</v>
      </c>
      <c r="D12" s="108">
        <v>75</v>
      </c>
      <c r="E12" s="135">
        <v>75</v>
      </c>
      <c r="F12" s="135">
        <v>270</v>
      </c>
      <c r="G12" s="108">
        <v>5400</v>
      </c>
      <c r="H12" s="108">
        <v>1600</v>
      </c>
      <c r="I12" s="109">
        <v>0</v>
      </c>
      <c r="J12" s="134">
        <f t="shared" si="0"/>
        <v>0.27</v>
      </c>
      <c r="K12" s="63">
        <f>+J12*1000</f>
        <v>270</v>
      </c>
      <c r="L12" s="110">
        <f>+K12*0.96</f>
        <v>259.2</v>
      </c>
    </row>
    <row r="13" spans="2:12" ht="15" thickBot="1">
      <c r="B13" s="126" t="s">
        <v>7</v>
      </c>
      <c r="C13" s="108">
        <v>46</v>
      </c>
      <c r="D13" s="108">
        <v>82</v>
      </c>
      <c r="E13" s="135">
        <v>90</v>
      </c>
      <c r="F13" s="135">
        <v>323</v>
      </c>
      <c r="G13" s="108">
        <v>6460</v>
      </c>
      <c r="H13" s="108">
        <v>540</v>
      </c>
      <c r="I13" s="109">
        <v>-1060</v>
      </c>
      <c r="J13" s="134">
        <f t="shared" si="0"/>
        <v>0.323</v>
      </c>
      <c r="K13" s="63">
        <f>+J13*1000</f>
        <v>323</v>
      </c>
      <c r="L13" s="110">
        <f>+K13*0.96</f>
        <v>310.08</v>
      </c>
    </row>
    <row r="14" spans="2:12" ht="22.5" customHeight="1" thickBot="1">
      <c r="B14" s="127" t="s">
        <v>28</v>
      </c>
      <c r="C14" s="257" t="s">
        <v>53</v>
      </c>
      <c r="D14" s="257" t="s">
        <v>53</v>
      </c>
      <c r="E14" s="264">
        <v>150</v>
      </c>
      <c r="F14" s="264">
        <v>530</v>
      </c>
      <c r="G14" s="257">
        <v>10600</v>
      </c>
      <c r="H14" s="257">
        <v>-3600</v>
      </c>
      <c r="I14" s="260">
        <v>-5200</v>
      </c>
      <c r="J14" s="134">
        <f t="shared" si="0"/>
        <v>0.53</v>
      </c>
      <c r="K14" s="70">
        <f>+J14*1000</f>
        <v>530</v>
      </c>
      <c r="L14" s="111">
        <f>+K14*0.96</f>
        <v>508.79999999999995</v>
      </c>
    </row>
    <row r="15" spans="2:10" ht="23.25" customHeight="1" thickBot="1">
      <c r="B15" s="125" t="s">
        <v>125</v>
      </c>
      <c r="C15" s="259"/>
      <c r="D15" s="259"/>
      <c r="E15" s="268"/>
      <c r="F15" s="268"/>
      <c r="G15" s="259"/>
      <c r="H15" s="259"/>
      <c r="I15" s="262"/>
      <c r="J15" s="134"/>
    </row>
    <row r="16" spans="2:10" ht="22.5" customHeight="1">
      <c r="B16" s="127" t="s">
        <v>126</v>
      </c>
      <c r="C16" s="257">
        <v>14</v>
      </c>
      <c r="D16" s="257">
        <v>37.5</v>
      </c>
      <c r="E16" s="264">
        <v>2</v>
      </c>
      <c r="F16" s="264">
        <v>7</v>
      </c>
      <c r="G16" s="257">
        <v>140</v>
      </c>
      <c r="H16" s="257">
        <v>6860</v>
      </c>
      <c r="I16" s="260">
        <v>5260</v>
      </c>
      <c r="J16" s="134">
        <f t="shared" si="0"/>
        <v>0.007</v>
      </c>
    </row>
    <row r="17" spans="2:10" ht="45.75" customHeight="1" thickBot="1">
      <c r="B17" s="125" t="s">
        <v>127</v>
      </c>
      <c r="C17" s="259"/>
      <c r="D17" s="259"/>
      <c r="E17" s="268"/>
      <c r="F17" s="268"/>
      <c r="G17" s="259"/>
      <c r="H17" s="259"/>
      <c r="I17" s="262"/>
      <c r="J17" s="134">
        <f t="shared" si="0"/>
        <v>0</v>
      </c>
    </row>
    <row r="18" spans="2:10" ht="22.5" customHeight="1">
      <c r="B18" s="127" t="s">
        <v>126</v>
      </c>
      <c r="C18" s="257">
        <v>14</v>
      </c>
      <c r="D18" s="257">
        <v>37.5</v>
      </c>
      <c r="E18" s="264">
        <v>7</v>
      </c>
      <c r="F18" s="264">
        <v>25</v>
      </c>
      <c r="G18" s="257">
        <v>500</v>
      </c>
      <c r="H18" s="257">
        <v>6500</v>
      </c>
      <c r="I18" s="260">
        <v>4900</v>
      </c>
      <c r="J18" s="134">
        <f t="shared" si="0"/>
        <v>0.025</v>
      </c>
    </row>
    <row r="19" spans="2:10" ht="57" customHeight="1" thickBot="1">
      <c r="B19" s="125" t="s">
        <v>128</v>
      </c>
      <c r="C19" s="259"/>
      <c r="D19" s="259"/>
      <c r="E19" s="268"/>
      <c r="F19" s="268"/>
      <c r="G19" s="259"/>
      <c r="H19" s="259"/>
      <c r="I19" s="262"/>
      <c r="J19" s="134">
        <f t="shared" si="0"/>
        <v>0</v>
      </c>
    </row>
    <row r="20" spans="2:10" ht="22.5" customHeight="1">
      <c r="B20" s="127" t="s">
        <v>129</v>
      </c>
      <c r="C20" s="257">
        <v>17</v>
      </c>
      <c r="D20" s="257">
        <v>45</v>
      </c>
      <c r="E20" s="264">
        <v>4</v>
      </c>
      <c r="F20" s="264">
        <v>15</v>
      </c>
      <c r="G20" s="257">
        <v>300</v>
      </c>
      <c r="H20" s="257">
        <v>6700</v>
      </c>
      <c r="I20" s="260">
        <v>5100</v>
      </c>
      <c r="J20" s="134">
        <f t="shared" si="0"/>
        <v>0.015</v>
      </c>
    </row>
    <row r="21" spans="2:10" ht="90" customHeight="1">
      <c r="B21" s="124" t="s">
        <v>130</v>
      </c>
      <c r="C21" s="258"/>
      <c r="D21" s="258"/>
      <c r="E21" s="267"/>
      <c r="F21" s="267"/>
      <c r="G21" s="258"/>
      <c r="H21" s="258"/>
      <c r="I21" s="261"/>
      <c r="J21" s="134"/>
    </row>
    <row r="22" spans="2:10" ht="23.25" customHeight="1" thickBot="1">
      <c r="B22" s="125" t="s">
        <v>131</v>
      </c>
      <c r="C22" s="259"/>
      <c r="D22" s="259"/>
      <c r="E22" s="268"/>
      <c r="F22" s="268"/>
      <c r="G22" s="259"/>
      <c r="H22" s="259"/>
      <c r="I22" s="262"/>
      <c r="J22" s="134"/>
    </row>
    <row r="23" spans="2:10" ht="22.5" customHeight="1">
      <c r="B23" s="127" t="s">
        <v>129</v>
      </c>
      <c r="C23" s="257">
        <v>17</v>
      </c>
      <c r="D23" s="257">
        <v>45</v>
      </c>
      <c r="E23" s="264">
        <v>9</v>
      </c>
      <c r="F23" s="264">
        <v>33</v>
      </c>
      <c r="G23" s="257">
        <v>660</v>
      </c>
      <c r="H23" s="257">
        <v>6340</v>
      </c>
      <c r="I23" s="260">
        <v>4740</v>
      </c>
      <c r="J23" s="134">
        <f t="shared" si="0"/>
        <v>0.033</v>
      </c>
    </row>
    <row r="24" spans="2:10" ht="56.25" customHeight="1">
      <c r="B24" s="124" t="s">
        <v>132</v>
      </c>
      <c r="C24" s="258"/>
      <c r="D24" s="258"/>
      <c r="E24" s="267"/>
      <c r="F24" s="267"/>
      <c r="G24" s="258"/>
      <c r="H24" s="258"/>
      <c r="I24" s="261"/>
      <c r="J24" s="134">
        <f t="shared" si="0"/>
        <v>0</v>
      </c>
    </row>
    <row r="25" spans="2:10" ht="23.25" customHeight="1" thickBot="1">
      <c r="B25" s="125" t="s">
        <v>131</v>
      </c>
      <c r="C25" s="259"/>
      <c r="D25" s="259"/>
      <c r="E25" s="268"/>
      <c r="F25" s="268"/>
      <c r="G25" s="259"/>
      <c r="H25" s="259"/>
      <c r="I25" s="262"/>
      <c r="J25" s="134">
        <f t="shared" si="0"/>
        <v>0</v>
      </c>
    </row>
    <row r="26" spans="2:10" ht="33.75" customHeight="1">
      <c r="B26" s="127" t="s">
        <v>133</v>
      </c>
      <c r="C26" s="257">
        <v>14.5</v>
      </c>
      <c r="D26" s="257">
        <v>38</v>
      </c>
      <c r="E26" s="264" t="s">
        <v>134</v>
      </c>
      <c r="F26" s="264" t="s">
        <v>135</v>
      </c>
      <c r="G26" s="257" t="s">
        <v>136</v>
      </c>
      <c r="H26" s="257" t="s">
        <v>137</v>
      </c>
      <c r="I26" s="260" t="s">
        <v>138</v>
      </c>
      <c r="J26" s="134"/>
    </row>
    <row r="27" spans="2:10" ht="23.25" customHeight="1" thickBot="1">
      <c r="B27" s="128" t="s">
        <v>139</v>
      </c>
      <c r="C27" s="263"/>
      <c r="D27" s="263"/>
      <c r="E27" s="265"/>
      <c r="F27" s="265"/>
      <c r="G27" s="263"/>
      <c r="H27" s="263"/>
      <c r="I27" s="266"/>
      <c r="J27" s="134"/>
    </row>
    <row r="28" ht="12.75" thickTop="1"/>
  </sheetData>
  <sheetProtection/>
  <mergeCells count="52">
    <mergeCell ref="E7:F7"/>
    <mergeCell ref="G7:I7"/>
    <mergeCell ref="E8:F8"/>
    <mergeCell ref="G8:I8"/>
    <mergeCell ref="C14:C15"/>
    <mergeCell ref="D14:D15"/>
    <mergeCell ref="E14:E15"/>
    <mergeCell ref="F14:F15"/>
    <mergeCell ref="B4:J4"/>
    <mergeCell ref="B5:I5"/>
    <mergeCell ref="B6:I6"/>
    <mergeCell ref="B7:B9"/>
    <mergeCell ref="C7:C9"/>
    <mergeCell ref="D7:D9"/>
    <mergeCell ref="G14:G15"/>
    <mergeCell ref="H14:H15"/>
    <mergeCell ref="I14:I15"/>
    <mergeCell ref="C16:C17"/>
    <mergeCell ref="D16:D17"/>
    <mergeCell ref="E16:E17"/>
    <mergeCell ref="F16:F17"/>
    <mergeCell ref="G16:G17"/>
    <mergeCell ref="H16:H17"/>
    <mergeCell ref="I16:I17"/>
    <mergeCell ref="I18:I19"/>
    <mergeCell ref="C20:C22"/>
    <mergeCell ref="D20:D22"/>
    <mergeCell ref="E20:E22"/>
    <mergeCell ref="F20:F22"/>
    <mergeCell ref="G20:G22"/>
    <mergeCell ref="H20:H22"/>
    <mergeCell ref="I20:I22"/>
    <mergeCell ref="C18:C19"/>
    <mergeCell ref="D18:D19"/>
    <mergeCell ref="C23:C25"/>
    <mergeCell ref="D23:D25"/>
    <mergeCell ref="E23:E25"/>
    <mergeCell ref="F23:F25"/>
    <mergeCell ref="G18:G19"/>
    <mergeCell ref="H18:H19"/>
    <mergeCell ref="E18:E19"/>
    <mergeCell ref="F18:F19"/>
    <mergeCell ref="G23:G25"/>
    <mergeCell ref="H23:H25"/>
    <mergeCell ref="I23:I25"/>
    <mergeCell ref="C26:C27"/>
    <mergeCell ref="D26:D27"/>
    <mergeCell ref="E26:E27"/>
    <mergeCell ref="F26:F27"/>
    <mergeCell ref="G26:G27"/>
    <mergeCell ref="H26:H27"/>
    <mergeCell ref="I26:I27"/>
  </mergeCells>
  <hyperlinks>
    <hyperlink ref="B4" r:id="rId1" display="http://www.biomassenergycentre.org.uk/portal/page?_pageid=75,163182&amp;_dad=portal&amp;_schema=PORTAL"/>
  </hyperlinks>
  <printOptions/>
  <pageMargins left="0.75" right="0.75" top="1" bottom="1" header="0.5" footer="0.5"/>
  <pageSetup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plasterline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</dc:creator>
  <cp:keywords/>
  <dc:description/>
  <cp:lastModifiedBy>Jenny Green</cp:lastModifiedBy>
  <cp:lastPrinted>2014-08-07T10:06:06Z</cp:lastPrinted>
  <dcterms:created xsi:type="dcterms:W3CDTF">2014-07-23T10:17:29Z</dcterms:created>
  <dcterms:modified xsi:type="dcterms:W3CDTF">2015-03-20T08:27:58Z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